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9D712772-7730-40F6-8B9B-66731AF6273F}" xr6:coauthVersionLast="45" xr6:coauthVersionMax="47" xr10:uidLastSave="{00000000-0000-0000-0000-000000000000}"/>
  <bookViews>
    <workbookView xWindow="-60" yWindow="-60" windowWidth="20610" windowHeight="11220" tabRatio="769" xr2:uid="{00000000-000D-0000-FFFF-FFFF00000000}"/>
  </bookViews>
  <sheets>
    <sheet name="Региональное меню" sheetId="21" r:id="rId1"/>
  </sheets>
  <definedNames>
    <definedName name="_xlnm.Print_Area" localSheetId="0">'Региональное меню'!$A$2:$L$239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21" l="1"/>
  <c r="J58" i="21" s="1"/>
  <c r="G53" i="21"/>
  <c r="C221" i="21"/>
  <c r="H53" i="21"/>
  <c r="H58" i="21" s="1"/>
  <c r="F53" i="21"/>
  <c r="L133" i="21"/>
  <c r="L177" i="21"/>
  <c r="L176" i="21"/>
  <c r="L175" i="21"/>
  <c r="K175" i="21"/>
  <c r="J176" i="21"/>
  <c r="J175" i="21"/>
  <c r="I176" i="21"/>
  <c r="I175" i="21"/>
  <c r="H176" i="21"/>
  <c r="H175" i="21"/>
  <c r="F175" i="21"/>
  <c r="F176" i="21"/>
  <c r="E175" i="21"/>
  <c r="D176" i="21"/>
  <c r="D175" i="21"/>
  <c r="K176" i="21"/>
  <c r="G176" i="21"/>
  <c r="E176" i="21"/>
  <c r="G175" i="21"/>
  <c r="L204" i="21"/>
  <c r="K151" i="21"/>
  <c r="K208" i="21"/>
  <c r="L208" i="21"/>
  <c r="J208" i="21"/>
  <c r="I208" i="21"/>
  <c r="I211" i="21" s="1"/>
  <c r="H208" i="21"/>
  <c r="H211" i="21" s="1"/>
  <c r="G208" i="21"/>
  <c r="F208" i="21"/>
  <c r="E208" i="21"/>
  <c r="D208" i="21"/>
  <c r="D211" i="21" s="1"/>
  <c r="K204" i="21"/>
  <c r="J204" i="21"/>
  <c r="G204" i="21"/>
  <c r="G205" i="21"/>
  <c r="F204" i="21"/>
  <c r="F205" i="21"/>
  <c r="E205" i="21"/>
  <c r="E204" i="21"/>
  <c r="I177" i="21"/>
  <c r="H177" i="21"/>
  <c r="G177" i="21"/>
  <c r="F177" i="21"/>
  <c r="E177" i="21"/>
  <c r="D177" i="21"/>
  <c r="L174" i="21"/>
  <c r="L195" i="21"/>
  <c r="L194" i="21"/>
  <c r="K195" i="21"/>
  <c r="K194" i="21"/>
  <c r="I195" i="21"/>
  <c r="H195" i="21"/>
  <c r="H194" i="21"/>
  <c r="E195" i="21"/>
  <c r="D195" i="21"/>
  <c r="D194" i="21"/>
  <c r="I194" i="21"/>
  <c r="G194" i="21"/>
  <c r="F194" i="21"/>
  <c r="E194" i="21"/>
  <c r="L100" i="21"/>
  <c r="L188" i="21"/>
  <c r="L187" i="21"/>
  <c r="K100" i="21"/>
  <c r="K188" i="21"/>
  <c r="K187" i="21"/>
  <c r="I188" i="21"/>
  <c r="I191" i="21" s="1"/>
  <c r="F187" i="21"/>
  <c r="D187" i="21"/>
  <c r="L118" i="21"/>
  <c r="L215" i="21"/>
  <c r="L214" i="21"/>
  <c r="L216" i="21"/>
  <c r="K118" i="21"/>
  <c r="K214" i="21"/>
  <c r="K216" i="21"/>
  <c r="K215" i="21"/>
  <c r="I215" i="21"/>
  <c r="I217" i="21"/>
  <c r="I216" i="21"/>
  <c r="G215" i="21"/>
  <c r="F216" i="21"/>
  <c r="F215" i="21"/>
  <c r="E216" i="21"/>
  <c r="E215" i="21"/>
  <c r="D215" i="21"/>
  <c r="H216" i="21"/>
  <c r="G216" i="21"/>
  <c r="D216" i="21"/>
  <c r="J215" i="21"/>
  <c r="H215" i="21"/>
  <c r="J214" i="21"/>
  <c r="I214" i="21"/>
  <c r="H214" i="21"/>
  <c r="G214" i="21"/>
  <c r="F214" i="21"/>
  <c r="E214" i="21"/>
  <c r="D214" i="21"/>
  <c r="K169" i="21"/>
  <c r="K172" i="21" s="1"/>
  <c r="H169" i="21"/>
  <c r="G169" i="21"/>
  <c r="F169" i="21"/>
  <c r="F172" i="21" s="1"/>
  <c r="E169" i="21"/>
  <c r="D169" i="21"/>
  <c r="L157" i="21"/>
  <c r="K157" i="21"/>
  <c r="K156" i="21"/>
  <c r="K159" i="21"/>
  <c r="K158" i="21"/>
  <c r="K160" i="21"/>
  <c r="L156" i="21"/>
  <c r="J157" i="21"/>
  <c r="J158" i="21"/>
  <c r="I158" i="21"/>
  <c r="I157" i="21"/>
  <c r="H157" i="21"/>
  <c r="H158" i="21"/>
  <c r="G158" i="21"/>
  <c r="E158" i="21"/>
  <c r="G157" i="21"/>
  <c r="F157" i="21"/>
  <c r="E157" i="21"/>
  <c r="D157" i="21"/>
  <c r="K150" i="21"/>
  <c r="J150" i="21"/>
  <c r="I150" i="21"/>
  <c r="F150" i="21"/>
  <c r="J168" i="21"/>
  <c r="J172" i="21" s="1"/>
  <c r="H168" i="21"/>
  <c r="G168" i="21"/>
  <c r="E168" i="21"/>
  <c r="D168" i="21"/>
  <c r="D172" i="21" s="1"/>
  <c r="H188" i="21"/>
  <c r="H191" i="21" s="1"/>
  <c r="G188" i="21"/>
  <c r="G191" i="21" s="1"/>
  <c r="F188" i="21"/>
  <c r="E188" i="21"/>
  <c r="E191" i="21" s="1"/>
  <c r="D188" i="21"/>
  <c r="D191" i="21" s="1"/>
  <c r="E206" i="21"/>
  <c r="K186" i="21"/>
  <c r="K207" i="21"/>
  <c r="L178" i="21"/>
  <c r="J178" i="21"/>
  <c r="I178" i="21"/>
  <c r="H178" i="21"/>
  <c r="G178" i="21"/>
  <c r="F178" i="21"/>
  <c r="E178" i="21"/>
  <c r="D178" i="21"/>
  <c r="L196" i="21"/>
  <c r="J196" i="21"/>
  <c r="I196" i="21"/>
  <c r="H196" i="21"/>
  <c r="G196" i="21"/>
  <c r="F196" i="21"/>
  <c r="E196" i="21"/>
  <c r="D196" i="21"/>
  <c r="L217" i="21"/>
  <c r="J217" i="21"/>
  <c r="H217" i="21"/>
  <c r="G217" i="21"/>
  <c r="F217" i="21"/>
  <c r="E217" i="21"/>
  <c r="D217" i="21"/>
  <c r="J159" i="21"/>
  <c r="I159" i="21"/>
  <c r="H159" i="21"/>
  <c r="G159" i="21"/>
  <c r="F159" i="21"/>
  <c r="E159" i="21"/>
  <c r="D159" i="21"/>
  <c r="L193" i="21"/>
  <c r="L185" i="21"/>
  <c r="L213" i="21"/>
  <c r="L167" i="21"/>
  <c r="L172" i="21" s="1"/>
  <c r="K209" i="21"/>
  <c r="J209" i="21"/>
  <c r="K197" i="21"/>
  <c r="J197" i="21"/>
  <c r="K218" i="21"/>
  <c r="J218" i="21"/>
  <c r="J160" i="21"/>
  <c r="K152" i="21"/>
  <c r="J152" i="21"/>
  <c r="L151" i="21"/>
  <c r="J151" i="21"/>
  <c r="I151" i="21"/>
  <c r="I154" i="21" s="1"/>
  <c r="H151" i="21"/>
  <c r="G151" i="21"/>
  <c r="F151" i="21"/>
  <c r="E151" i="21"/>
  <c r="D151" i="21"/>
  <c r="L150" i="21"/>
  <c r="L154" i="21" s="1"/>
  <c r="H150" i="21"/>
  <c r="G150" i="21"/>
  <c r="E150" i="21"/>
  <c r="D150" i="21"/>
  <c r="L140" i="21"/>
  <c r="L139" i="21"/>
  <c r="K143" i="21"/>
  <c r="K141" i="21"/>
  <c r="K142" i="21"/>
  <c r="K120" i="21"/>
  <c r="J143" i="21"/>
  <c r="J140" i="21"/>
  <c r="H141" i="21"/>
  <c r="I141" i="21"/>
  <c r="I140" i="21"/>
  <c r="H140" i="21"/>
  <c r="G140" i="21"/>
  <c r="E140" i="21"/>
  <c r="H142" i="21"/>
  <c r="F140" i="21"/>
  <c r="D141" i="21"/>
  <c r="D140" i="21"/>
  <c r="L142" i="21"/>
  <c r="I142" i="21"/>
  <c r="G142" i="21"/>
  <c r="F142" i="21"/>
  <c r="E142" i="21"/>
  <c r="D142" i="21"/>
  <c r="L132" i="21"/>
  <c r="L137" i="21" s="1"/>
  <c r="I132" i="21"/>
  <c r="H132" i="21"/>
  <c r="K134" i="21"/>
  <c r="K137" i="21" s="1"/>
  <c r="J134" i="21"/>
  <c r="J137" i="21" s="1"/>
  <c r="I133" i="21"/>
  <c r="I137" i="21" s="1"/>
  <c r="H133" i="21"/>
  <c r="G133" i="21"/>
  <c r="G137" i="21" s="1"/>
  <c r="F133" i="21"/>
  <c r="F137" i="21" s="1"/>
  <c r="E133" i="21"/>
  <c r="E137" i="21" s="1"/>
  <c r="D133" i="21"/>
  <c r="D137" i="21" s="1"/>
  <c r="K119" i="21"/>
  <c r="I118" i="21"/>
  <c r="H119" i="21"/>
  <c r="H118" i="21"/>
  <c r="F118" i="21"/>
  <c r="E119" i="21"/>
  <c r="D119" i="21"/>
  <c r="D45" i="21"/>
  <c r="D44" i="21"/>
  <c r="D46" i="21"/>
  <c r="D120" i="21"/>
  <c r="L121" i="21"/>
  <c r="J121" i="21"/>
  <c r="I121" i="21"/>
  <c r="H121" i="21"/>
  <c r="G121" i="21"/>
  <c r="F121" i="21"/>
  <c r="E121" i="21"/>
  <c r="D121" i="21"/>
  <c r="L120" i="21"/>
  <c r="I120" i="21"/>
  <c r="H120" i="21"/>
  <c r="G120" i="21"/>
  <c r="F120" i="21"/>
  <c r="E120" i="21"/>
  <c r="J118" i="21"/>
  <c r="G118" i="21"/>
  <c r="E118" i="21"/>
  <c r="D118" i="21"/>
  <c r="L113" i="21"/>
  <c r="L110" i="21"/>
  <c r="K110" i="21"/>
  <c r="K111" i="21"/>
  <c r="K63" i="21"/>
  <c r="K113" i="21"/>
  <c r="G113" i="21"/>
  <c r="G110" i="21"/>
  <c r="E110" i="21"/>
  <c r="L111" i="21"/>
  <c r="J111" i="21"/>
  <c r="J115" i="21" s="1"/>
  <c r="I111" i="21"/>
  <c r="I115" i="21" s="1"/>
  <c r="G111" i="21"/>
  <c r="F111" i="21"/>
  <c r="F115" i="21" s="1"/>
  <c r="E111" i="21"/>
  <c r="D111" i="21"/>
  <c r="E63" i="21"/>
  <c r="E61" i="21"/>
  <c r="E62" i="21"/>
  <c r="D110" i="21"/>
  <c r="D115" i="21" s="1"/>
  <c r="L99" i="21"/>
  <c r="L98" i="21"/>
  <c r="K98" i="21"/>
  <c r="K99" i="21"/>
  <c r="J98" i="21"/>
  <c r="I100" i="21"/>
  <c r="I98" i="21"/>
  <c r="H99" i="21"/>
  <c r="H98" i="21"/>
  <c r="E98" i="21"/>
  <c r="H100" i="21"/>
  <c r="G100" i="21"/>
  <c r="F100" i="21"/>
  <c r="E100" i="21"/>
  <c r="D100" i="21"/>
  <c r="G98" i="21"/>
  <c r="F98" i="21"/>
  <c r="D98" i="21"/>
  <c r="L101" i="21"/>
  <c r="J101" i="21"/>
  <c r="I101" i="21"/>
  <c r="H101" i="21"/>
  <c r="G101" i="21"/>
  <c r="F101" i="21"/>
  <c r="E101" i="21"/>
  <c r="D101" i="21"/>
  <c r="K102" i="21"/>
  <c r="J102" i="21"/>
  <c r="L90" i="21"/>
  <c r="L95" i="21" s="1"/>
  <c r="K90" i="21"/>
  <c r="J90" i="21"/>
  <c r="I95" i="21"/>
  <c r="H90" i="21"/>
  <c r="H95" i="21" s="1"/>
  <c r="G90" i="21"/>
  <c r="G95" i="21" s="1"/>
  <c r="F90" i="21"/>
  <c r="F95" i="21" s="1"/>
  <c r="E90" i="21"/>
  <c r="E95" i="21" s="1"/>
  <c r="D90" i="21"/>
  <c r="D95" i="21" s="1"/>
  <c r="K93" i="21"/>
  <c r="J93" i="21"/>
  <c r="K91" i="21"/>
  <c r="L81" i="21"/>
  <c r="L80" i="21"/>
  <c r="K80" i="21"/>
  <c r="K83" i="21"/>
  <c r="K81" i="21"/>
  <c r="J83" i="21"/>
  <c r="J81" i="21"/>
  <c r="J80" i="21"/>
  <c r="I81" i="21"/>
  <c r="I80" i="21"/>
  <c r="H81" i="21"/>
  <c r="G81" i="21"/>
  <c r="G80" i="21"/>
  <c r="E80" i="21"/>
  <c r="E81" i="21"/>
  <c r="D81" i="21"/>
  <c r="H80" i="21"/>
  <c r="F80" i="21"/>
  <c r="D80" i="21"/>
  <c r="L82" i="21"/>
  <c r="J82" i="21"/>
  <c r="I82" i="21"/>
  <c r="H82" i="21"/>
  <c r="G82" i="21"/>
  <c r="F82" i="21"/>
  <c r="E82" i="21"/>
  <c r="D82" i="21"/>
  <c r="C86" i="21"/>
  <c r="L73" i="21"/>
  <c r="L74" i="21"/>
  <c r="L72" i="21"/>
  <c r="K72" i="21"/>
  <c r="K73" i="21"/>
  <c r="K74" i="21"/>
  <c r="I73" i="21"/>
  <c r="I72" i="21"/>
  <c r="G72" i="21"/>
  <c r="F73" i="21"/>
  <c r="F72" i="21"/>
  <c r="F74" i="21"/>
  <c r="G74" i="21"/>
  <c r="D74" i="21"/>
  <c r="E72" i="21"/>
  <c r="H73" i="21"/>
  <c r="H77" i="21" s="1"/>
  <c r="G73" i="21"/>
  <c r="E73" i="21"/>
  <c r="D73" i="21"/>
  <c r="L61" i="21"/>
  <c r="L63" i="21"/>
  <c r="L62" i="21"/>
  <c r="K61" i="21"/>
  <c r="K62" i="21"/>
  <c r="J62" i="21"/>
  <c r="J61" i="21"/>
  <c r="I63" i="21"/>
  <c r="I62" i="21"/>
  <c r="I61" i="21"/>
  <c r="G55" i="21"/>
  <c r="F55" i="21"/>
  <c r="L64" i="21"/>
  <c r="J64" i="21"/>
  <c r="I64" i="21"/>
  <c r="H64" i="21"/>
  <c r="G64" i="21"/>
  <c r="F64" i="21"/>
  <c r="E64" i="21"/>
  <c r="D64" i="21"/>
  <c r="J63" i="21"/>
  <c r="G61" i="21"/>
  <c r="G62" i="21"/>
  <c r="G63" i="21"/>
  <c r="D61" i="21"/>
  <c r="D62" i="21"/>
  <c r="I58" i="21"/>
  <c r="I172" i="21"/>
  <c r="F63" i="21"/>
  <c r="D63" i="21"/>
  <c r="E53" i="21"/>
  <c r="E55" i="21"/>
  <c r="D55" i="21"/>
  <c r="D58" i="21" s="1"/>
  <c r="K44" i="21"/>
  <c r="K49" i="21" s="1"/>
  <c r="L43" i="21"/>
  <c r="L45" i="21"/>
  <c r="J43" i="21"/>
  <c r="I43" i="21"/>
  <c r="I45" i="21"/>
  <c r="H45" i="21"/>
  <c r="H44" i="21"/>
  <c r="I44" i="21"/>
  <c r="F44" i="21"/>
  <c r="F43" i="21"/>
  <c r="L46" i="21"/>
  <c r="J46" i="21"/>
  <c r="I46" i="21"/>
  <c r="H46" i="21"/>
  <c r="G46" i="21"/>
  <c r="F46" i="21"/>
  <c r="E46" i="21"/>
  <c r="G44" i="21"/>
  <c r="E43" i="21"/>
  <c r="G45" i="21"/>
  <c r="F45" i="21"/>
  <c r="E45" i="21"/>
  <c r="L44" i="21"/>
  <c r="J44" i="21"/>
  <c r="E44" i="21"/>
  <c r="H43" i="21"/>
  <c r="G43" i="21"/>
  <c r="D43" i="21"/>
  <c r="H33" i="21"/>
  <c r="H40" i="21" s="1"/>
  <c r="L33" i="21"/>
  <c r="L40" i="21" s="1"/>
  <c r="K33" i="21"/>
  <c r="K35" i="21"/>
  <c r="E34" i="21"/>
  <c r="J33" i="21"/>
  <c r="J40" i="21" s="1"/>
  <c r="I33" i="21"/>
  <c r="I40" i="21" s="1"/>
  <c r="G33" i="21"/>
  <c r="G40" i="21" s="1"/>
  <c r="F33" i="21"/>
  <c r="F40" i="21" s="1"/>
  <c r="E33" i="21"/>
  <c r="D33" i="21"/>
  <c r="D40" i="21" s="1"/>
  <c r="H61" i="21"/>
  <c r="F61" i="21"/>
  <c r="C77" i="21"/>
  <c r="C211" i="21"/>
  <c r="J77" i="21"/>
  <c r="K58" i="21"/>
  <c r="C67" i="21"/>
  <c r="C40" i="21"/>
  <c r="L58" i="21"/>
  <c r="H115" i="21"/>
  <c r="C115" i="21"/>
  <c r="C181" i="21"/>
  <c r="C200" i="21"/>
  <c r="J191" i="21"/>
  <c r="C191" i="21"/>
  <c r="C172" i="21"/>
  <c r="C163" i="21"/>
  <c r="C154" i="21"/>
  <c r="C146" i="21"/>
  <c r="C137" i="21"/>
  <c r="C124" i="21"/>
  <c r="C105" i="21"/>
  <c r="C95" i="21"/>
  <c r="C58" i="21"/>
  <c r="C49" i="21"/>
  <c r="C87" i="21" l="1"/>
  <c r="E172" i="21"/>
  <c r="H67" i="21"/>
  <c r="H68" i="21" s="1"/>
  <c r="J105" i="21"/>
  <c r="G58" i="21"/>
  <c r="J154" i="21"/>
  <c r="J67" i="21"/>
  <c r="J68" i="21" s="1"/>
  <c r="F86" i="21"/>
  <c r="L115" i="21"/>
  <c r="G172" i="21"/>
  <c r="G124" i="21"/>
  <c r="E154" i="21"/>
  <c r="F200" i="21"/>
  <c r="I163" i="21"/>
  <c r="D221" i="21"/>
  <c r="H221" i="21"/>
  <c r="H222" i="21" s="1"/>
  <c r="L124" i="21"/>
  <c r="L125" i="21" s="1"/>
  <c r="K191" i="21"/>
  <c r="L191" i="21"/>
  <c r="G200" i="21"/>
  <c r="K200" i="21"/>
  <c r="G77" i="21"/>
  <c r="G146" i="21"/>
  <c r="C222" i="21"/>
  <c r="C50" i="21"/>
  <c r="J163" i="21"/>
  <c r="J164" i="21" s="1"/>
  <c r="K181" i="21"/>
  <c r="K182" i="21" s="1"/>
  <c r="C68" i="21"/>
  <c r="C182" i="21"/>
  <c r="K40" i="21"/>
  <c r="K50" i="21" s="1"/>
  <c r="L49" i="21"/>
  <c r="L50" i="21" s="1"/>
  <c r="J49" i="21"/>
  <c r="J50" i="21" s="1"/>
  <c r="J200" i="21"/>
  <c r="J201" i="21" s="1"/>
  <c r="J181" i="21"/>
  <c r="J182" i="21" s="1"/>
  <c r="E40" i="21"/>
  <c r="F49" i="21"/>
  <c r="F50" i="21" s="1"/>
  <c r="E58" i="21"/>
  <c r="H49" i="21"/>
  <c r="H50" i="21" s="1"/>
  <c r="G49" i="21"/>
  <c r="C125" i="21"/>
  <c r="F105" i="21"/>
  <c r="D124" i="21"/>
  <c r="I124" i="21"/>
  <c r="I125" i="21" s="1"/>
  <c r="J124" i="21"/>
  <c r="J125" i="21" s="1"/>
  <c r="K124" i="21"/>
  <c r="D146" i="21"/>
  <c r="F146" i="21"/>
  <c r="F147" i="21" s="1"/>
  <c r="G154" i="21"/>
  <c r="J211" i="21"/>
  <c r="F163" i="21"/>
  <c r="H200" i="21"/>
  <c r="H201" i="21" s="1"/>
  <c r="H172" i="21"/>
  <c r="F211" i="21"/>
  <c r="L211" i="21"/>
  <c r="D181" i="21"/>
  <c r="D182" i="21" s="1"/>
  <c r="D77" i="21"/>
  <c r="E115" i="21"/>
  <c r="E146" i="21"/>
  <c r="L146" i="21"/>
  <c r="L147" i="21" s="1"/>
  <c r="H154" i="21"/>
  <c r="D163" i="21"/>
  <c r="E163" i="21"/>
  <c r="L163" i="21"/>
  <c r="L164" i="21" s="1"/>
  <c r="E211" i="21"/>
  <c r="E77" i="21"/>
  <c r="L77" i="21"/>
  <c r="E86" i="21"/>
  <c r="I200" i="21"/>
  <c r="I201" i="21" s="1"/>
  <c r="F67" i="21"/>
  <c r="C164" i="21"/>
  <c r="G67" i="21"/>
  <c r="I67" i="21"/>
  <c r="I68" i="21" s="1"/>
  <c r="K67" i="21"/>
  <c r="K68" i="21" s="1"/>
  <c r="L86" i="21"/>
  <c r="G86" i="21"/>
  <c r="K115" i="21"/>
  <c r="D49" i="21"/>
  <c r="I146" i="21"/>
  <c r="H146" i="21"/>
  <c r="J146" i="21"/>
  <c r="J147" i="21" s="1"/>
  <c r="K146" i="21"/>
  <c r="K147" i="21" s="1"/>
  <c r="D154" i="21"/>
  <c r="D200" i="21"/>
  <c r="K154" i="21"/>
  <c r="G163" i="21"/>
  <c r="H163" i="21"/>
  <c r="F221" i="21"/>
  <c r="E221" i="21"/>
  <c r="L221" i="21"/>
  <c r="F191" i="21"/>
  <c r="E200" i="21"/>
  <c r="E201" i="21" s="1"/>
  <c r="E181" i="21"/>
  <c r="G211" i="21"/>
  <c r="G181" i="21"/>
  <c r="F181" i="21"/>
  <c r="F182" i="21" s="1"/>
  <c r="L181" i="21"/>
  <c r="L182" i="21" s="1"/>
  <c r="F58" i="21"/>
  <c r="K211" i="21"/>
  <c r="I181" i="21"/>
  <c r="I77" i="21"/>
  <c r="I126" i="21" s="1"/>
  <c r="L67" i="21"/>
  <c r="L68" i="21" s="1"/>
  <c r="F77" i="21"/>
  <c r="K77" i="21"/>
  <c r="K95" i="21"/>
  <c r="K86" i="21"/>
  <c r="G105" i="21"/>
  <c r="H105" i="21"/>
  <c r="H106" i="21" s="1"/>
  <c r="G115" i="21"/>
  <c r="H137" i="21"/>
  <c r="K221" i="21"/>
  <c r="I223" i="21"/>
  <c r="C106" i="21"/>
  <c r="C201" i="21"/>
  <c r="D67" i="21"/>
  <c r="F124" i="21"/>
  <c r="D86" i="21"/>
  <c r="H86" i="21"/>
  <c r="H87" i="21" s="1"/>
  <c r="J95" i="21"/>
  <c r="K105" i="21"/>
  <c r="E124" i="21"/>
  <c r="J221" i="21"/>
  <c r="I86" i="21"/>
  <c r="D105" i="21"/>
  <c r="E105" i="21"/>
  <c r="L105" i="21"/>
  <c r="L106" i="21" s="1"/>
  <c r="L200" i="21"/>
  <c r="G221" i="21"/>
  <c r="E49" i="21"/>
  <c r="C223" i="21"/>
  <c r="J86" i="21"/>
  <c r="J87" i="21" s="1"/>
  <c r="I105" i="21"/>
  <c r="I106" i="21" s="1"/>
  <c r="C127" i="21"/>
  <c r="C224" i="21"/>
  <c r="H124" i="21"/>
  <c r="H125" i="21" s="1"/>
  <c r="F154" i="21"/>
  <c r="I221" i="21"/>
  <c r="I222" i="21" s="1"/>
  <c r="C147" i="21"/>
  <c r="H181" i="21"/>
  <c r="K163" i="21"/>
  <c r="C126" i="21"/>
  <c r="H126" i="21"/>
  <c r="I49" i="21"/>
  <c r="E67" i="21"/>
  <c r="E182" i="21" l="1"/>
  <c r="L126" i="21"/>
  <c r="K201" i="21"/>
  <c r="J106" i="21"/>
  <c r="D125" i="21"/>
  <c r="G201" i="21"/>
  <c r="G68" i="21"/>
  <c r="G147" i="21"/>
  <c r="D222" i="21"/>
  <c r="J223" i="21"/>
  <c r="G182" i="21"/>
  <c r="L223" i="21"/>
  <c r="L87" i="21"/>
  <c r="F201" i="21"/>
  <c r="F126" i="21"/>
  <c r="H227" i="21"/>
  <c r="H228" i="21" s="1"/>
  <c r="H229" i="21" s="1"/>
  <c r="G126" i="21"/>
  <c r="K223" i="21"/>
  <c r="I182" i="21"/>
  <c r="I230" i="21"/>
  <c r="I231" i="21" s="1"/>
  <c r="I232" i="21" s="1"/>
  <c r="H223" i="21"/>
  <c r="F87" i="21"/>
  <c r="K127" i="21"/>
  <c r="D50" i="21"/>
  <c r="K125" i="21"/>
  <c r="H147" i="21"/>
  <c r="D147" i="21"/>
  <c r="K222" i="21"/>
  <c r="G50" i="21"/>
  <c r="E87" i="21"/>
  <c r="F224" i="21"/>
  <c r="F106" i="21"/>
  <c r="G223" i="21"/>
  <c r="L222" i="21"/>
  <c r="L224" i="21"/>
  <c r="D164" i="21"/>
  <c r="E227" i="21"/>
  <c r="E228" i="21" s="1"/>
  <c r="E229" i="21" s="1"/>
  <c r="L227" i="21"/>
  <c r="L228" i="21" s="1"/>
  <c r="L229" i="21" s="1"/>
  <c r="E222" i="21"/>
  <c r="D126" i="21"/>
  <c r="K224" i="21"/>
  <c r="F227" i="21"/>
  <c r="F228" i="21" s="1"/>
  <c r="F229" i="21" s="1"/>
  <c r="E223" i="21"/>
  <c r="G87" i="21"/>
  <c r="E224" i="21"/>
  <c r="F127" i="21"/>
  <c r="F222" i="21"/>
  <c r="E126" i="21"/>
  <c r="J126" i="21"/>
  <c r="H224" i="21"/>
  <c r="D227" i="21"/>
  <c r="D228" i="21" s="1"/>
  <c r="D229" i="21" s="1"/>
  <c r="G222" i="21"/>
  <c r="G164" i="21"/>
  <c r="F68" i="21"/>
  <c r="H164" i="21"/>
  <c r="D230" i="21"/>
  <c r="E164" i="21"/>
  <c r="E147" i="21"/>
  <c r="I224" i="21"/>
  <c r="J230" i="21"/>
  <c r="J231" i="21" s="1"/>
  <c r="J232" i="21" s="1"/>
  <c r="J222" i="21"/>
  <c r="D127" i="21"/>
  <c r="K87" i="21"/>
  <c r="J127" i="21"/>
  <c r="D223" i="21"/>
  <c r="H127" i="21"/>
  <c r="K227" i="21"/>
  <c r="K228" i="21" s="1"/>
  <c r="D201" i="21"/>
  <c r="H182" i="21"/>
  <c r="G106" i="21"/>
  <c r="J224" i="21"/>
  <c r="G227" i="21"/>
  <c r="G228" i="21" s="1"/>
  <c r="E238" i="21" s="1"/>
  <c r="D68" i="21"/>
  <c r="G230" i="21"/>
  <c r="J227" i="21"/>
  <c r="J228" i="21" s="1"/>
  <c r="I227" i="21"/>
  <c r="I228" i="21" s="1"/>
  <c r="I229" i="21" s="1"/>
  <c r="K126" i="21"/>
  <c r="G127" i="21"/>
  <c r="I87" i="21"/>
  <c r="G125" i="21"/>
  <c r="K106" i="21"/>
  <c r="E125" i="21"/>
  <c r="F125" i="21"/>
  <c r="E50" i="21"/>
  <c r="D106" i="21"/>
  <c r="G224" i="21"/>
  <c r="D87" i="21"/>
  <c r="F223" i="21"/>
  <c r="E127" i="21"/>
  <c r="E106" i="21"/>
  <c r="K229" i="21"/>
  <c r="L127" i="21"/>
  <c r="L201" i="21"/>
  <c r="L230" i="21"/>
  <c r="F164" i="21"/>
  <c r="F230" i="21"/>
  <c r="D224" i="21"/>
  <c r="H230" i="21"/>
  <c r="K164" i="21"/>
  <c r="K230" i="21"/>
  <c r="I50" i="21"/>
  <c r="I127" i="21"/>
  <c r="I147" i="21" s="1"/>
  <c r="I164" i="21" s="1"/>
  <c r="E68" i="21"/>
  <c r="E230" i="21"/>
  <c r="J233" i="21" l="1"/>
  <c r="J234" i="21" s="1"/>
  <c r="J235" i="21" s="1"/>
  <c r="G231" i="21"/>
  <c r="E239" i="21" s="1"/>
  <c r="G233" i="21"/>
  <c r="G234" i="21" s="1"/>
  <c r="G229" i="21"/>
  <c r="D231" i="21"/>
  <c r="D233" i="21"/>
  <c r="D234" i="21" s="1"/>
  <c r="F231" i="21"/>
  <c r="F233" i="21"/>
  <c r="F234" i="21" s="1"/>
  <c r="L231" i="21"/>
  <c r="L233" i="21"/>
  <c r="L234" i="21" s="1"/>
  <c r="J229" i="21"/>
  <c r="H233" i="21"/>
  <c r="H234" i="21" s="1"/>
  <c r="H231" i="21"/>
  <c r="K233" i="21"/>
  <c r="K234" i="21" s="1"/>
  <c r="K231" i="21"/>
  <c r="E231" i="21"/>
  <c r="E233" i="21"/>
  <c r="E234" i="21" s="1"/>
  <c r="G235" i="21" l="1"/>
  <c r="G232" i="21"/>
  <c r="L235" i="21"/>
  <c r="D232" i="21"/>
  <c r="F235" i="21"/>
  <c r="F232" i="21"/>
  <c r="D235" i="21"/>
  <c r="L232" i="21"/>
  <c r="H232" i="21"/>
  <c r="H235" i="21"/>
  <c r="K232" i="21"/>
  <c r="K235" i="21"/>
  <c r="E235" i="21"/>
  <c r="E232" i="21"/>
</calcChain>
</file>

<file path=xl/sharedStrings.xml><?xml version="1.0" encoding="utf-8"?>
<sst xmlns="http://schemas.openxmlformats.org/spreadsheetml/2006/main" count="303" uniqueCount="144">
  <si>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</si>
  <si>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</si>
  <si>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</si>
  <si>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</si>
  <si>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</si>
  <si>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</si>
  <si>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</si>
  <si>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</si>
  <si>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</si>
  <si>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</si>
  <si>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</si>
  <si>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</si>
  <si>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</si>
  <si>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</si>
  <si>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Са</t>
  </si>
  <si>
    <t>Р</t>
  </si>
  <si>
    <t>_Завтрак</t>
  </si>
  <si>
    <t>Суп молочный с макаронными изделиями</t>
  </si>
  <si>
    <t>Масло порциями</t>
  </si>
  <si>
    <t>15М</t>
  </si>
  <si>
    <t>Сыр порционный</t>
  </si>
  <si>
    <t>209М</t>
  </si>
  <si>
    <t>Яйцо отварное</t>
  </si>
  <si>
    <t>338М</t>
  </si>
  <si>
    <t>Фрукты по сезону</t>
  </si>
  <si>
    <t>377М</t>
  </si>
  <si>
    <t>Чай с сахаром с лимоном</t>
  </si>
  <si>
    <t>Батон "Домашний"</t>
  </si>
  <si>
    <t>Итого за _Завтрак</t>
  </si>
  <si>
    <t>Обед</t>
  </si>
  <si>
    <t>Закуска из овощей по сезону</t>
  </si>
  <si>
    <t>Борщ из свежей капусты со сметаной</t>
  </si>
  <si>
    <t>268М</t>
  </si>
  <si>
    <t>Биточек мясной</t>
  </si>
  <si>
    <t>302М</t>
  </si>
  <si>
    <t>Каша гречневая рассыпчатая</t>
  </si>
  <si>
    <t>342, 349М</t>
  </si>
  <si>
    <t>Компот плодово-ягодный</t>
  </si>
  <si>
    <t>Хлеб ржано-пшеничный</t>
  </si>
  <si>
    <t>Итого за Обед</t>
  </si>
  <si>
    <t>Всего за Понедельник-1</t>
  </si>
  <si>
    <t>День/неделя: Вторник-1</t>
  </si>
  <si>
    <t>284М</t>
  </si>
  <si>
    <t>Запеканка картофельная с мясом</t>
  </si>
  <si>
    <t>Печенье</t>
  </si>
  <si>
    <t>376М</t>
  </si>
  <si>
    <t>Чай с сахаром</t>
  </si>
  <si>
    <t>104М</t>
  </si>
  <si>
    <t>Суп картофельный с фрикадельками</t>
  </si>
  <si>
    <t>229М</t>
  </si>
  <si>
    <t xml:space="preserve">Рыба тушеная в томате с овощами </t>
  </si>
  <si>
    <t>128М</t>
  </si>
  <si>
    <t>Картофельное пюре</t>
  </si>
  <si>
    <t>Всего за Вторник-1</t>
  </si>
  <si>
    <t>День/неделя: Среда-1</t>
  </si>
  <si>
    <t>Котлеты из говядины со сметанно-томатным соусом</t>
  </si>
  <si>
    <t>Каша пшеничная рассыпчатая</t>
  </si>
  <si>
    <t>Мармелад</t>
  </si>
  <si>
    <t>96М</t>
  </si>
  <si>
    <t>Рассольник "Ленинградский"</t>
  </si>
  <si>
    <t>291М</t>
  </si>
  <si>
    <t>Плов из филе птицы</t>
  </si>
  <si>
    <t>Всего за Среда-1</t>
  </si>
  <si>
    <t>День/неделя: Четверг-1</t>
  </si>
  <si>
    <t>224М</t>
  </si>
  <si>
    <t>Запеканка творожная с морковью с молочным соусом</t>
  </si>
  <si>
    <t>88М</t>
  </si>
  <si>
    <t>Щи из свежей капусты с картофелем и сметаной</t>
  </si>
  <si>
    <t>255М</t>
  </si>
  <si>
    <t>Печень по-строгановски</t>
  </si>
  <si>
    <t>309М</t>
  </si>
  <si>
    <t>Макаронные изделия отварные</t>
  </si>
  <si>
    <t>Всего за Четверг-1</t>
  </si>
  <si>
    <t>День/неделя: Пятница-1</t>
  </si>
  <si>
    <t>260М</t>
  </si>
  <si>
    <t>Гуляш из свинины</t>
  </si>
  <si>
    <t>434М</t>
  </si>
  <si>
    <t>Булочка "Молочная"</t>
  </si>
  <si>
    <t>102М</t>
  </si>
  <si>
    <t>Суп картофельный с бобовыми (горох)</t>
  </si>
  <si>
    <t>290М</t>
  </si>
  <si>
    <t>Птица тушеная в сметанном соусе</t>
  </si>
  <si>
    <t>Всего за Пятница-1</t>
  </si>
  <si>
    <t>Итого за неделю в среднем завтрак</t>
  </si>
  <si>
    <t>Итого за неделю в среднем обед</t>
  </si>
  <si>
    <t>День/неделя: Понедельник-2</t>
  </si>
  <si>
    <t>239М</t>
  </si>
  <si>
    <t>Тефтели рыбные в сметанном соусе с томатом</t>
  </si>
  <si>
    <t>304М</t>
  </si>
  <si>
    <t>Рис отварной</t>
  </si>
  <si>
    <t>Борщ из свежей капусты с картофелем</t>
  </si>
  <si>
    <t>245М</t>
  </si>
  <si>
    <t>Бефстроганов из отварной говядины</t>
  </si>
  <si>
    <t>Сок фруктовый</t>
  </si>
  <si>
    <t>Всего за Понедельник-2</t>
  </si>
  <si>
    <t>День/неделя: Вторник-2</t>
  </si>
  <si>
    <t>Запеканка творожная с морковью с фруктовым соусом</t>
  </si>
  <si>
    <t>382М</t>
  </si>
  <si>
    <t>Какао с молоком</t>
  </si>
  <si>
    <t>98М</t>
  </si>
  <si>
    <t>Суп крестьянский с крупой (пшено)</t>
  </si>
  <si>
    <t>265М</t>
  </si>
  <si>
    <t>Плов из говядины</t>
  </si>
  <si>
    <t>Всего за Вторник-2</t>
  </si>
  <si>
    <t>День/неделя: Среда-2</t>
  </si>
  <si>
    <t>Пряник</t>
  </si>
  <si>
    <t>234М</t>
  </si>
  <si>
    <t>Биточки рыбные с соусом сметанным</t>
  </si>
  <si>
    <t>310М</t>
  </si>
  <si>
    <t>Картофель отварной</t>
  </si>
  <si>
    <t>Всего за Среда-2</t>
  </si>
  <si>
    <t>День/неделя: Четверг-2</t>
  </si>
  <si>
    <t>278М</t>
  </si>
  <si>
    <t>Тефтели куриные со сметанным соусом</t>
  </si>
  <si>
    <t>101М</t>
  </si>
  <si>
    <t>Суп картофельный с крупой (рис)</t>
  </si>
  <si>
    <t>259М</t>
  </si>
  <si>
    <t>Жаркое по-домашнему</t>
  </si>
  <si>
    <t>Всего за Четверг-2</t>
  </si>
  <si>
    <t>День/неделя: Пятница-2</t>
  </si>
  <si>
    <t>175М</t>
  </si>
  <si>
    <t>Каша молочная "Дружба"</t>
  </si>
  <si>
    <t>Пирог чайный</t>
  </si>
  <si>
    <t>0,03-0,015</t>
  </si>
  <si>
    <t>114М</t>
  </si>
  <si>
    <t>Суп лапша с мясом птицы</t>
  </si>
  <si>
    <t>295М</t>
  </si>
  <si>
    <t>Котлеты рубленые из мяса птицы</t>
  </si>
  <si>
    <t>Всего за Пятница-2</t>
  </si>
  <si>
    <t>Итого за завтрак</t>
  </si>
  <si>
    <t>Среднее значение за завтрак</t>
  </si>
  <si>
    <t xml:space="preserve">ВыполнениеСанПиН 2020 </t>
  </si>
  <si>
    <t>Итого за обед</t>
  </si>
  <si>
    <t>Среднее значение за обед</t>
  </si>
  <si>
    <t>Итого день</t>
  </si>
  <si>
    <t>Среднее значение за день</t>
  </si>
  <si>
    <t xml:space="preserve">Потребность в пищевых веществах для обучающихся  7-11 лет по проекту СанПиН 2020 </t>
  </si>
  <si>
    <t>Распределение ЭЦ</t>
  </si>
  <si>
    <t>Норма</t>
  </si>
  <si>
    <t>Завтрак</t>
  </si>
  <si>
    <t>20-25%</t>
  </si>
  <si>
    <t>30-35%</t>
  </si>
  <si>
    <t>Плов</t>
  </si>
  <si>
    <t>Примерное 2-х недельное меню МУП "Столовая №1 г. Ростова-на-Дону" на горячее питание 
для учащихся с ограниченными возможностями здоровья ( 1- 4) класс, завтрак стоимостью 76 руб. 45 коп., обед 107 руб. 03 коп. 
для муниципальных общеобразовательных школ Октябрьского и Железнодорожного районов
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</si>
</sst>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&quot;"/>
    <numFmt numFmtId="165" formatCode="0&quot;М/ссж&quot;"/>
  </numFmts>
  <fonts count="18" x14ac:knownFonts="1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/>
    <xf numFmtId="2" fontId="3" fillId="0" borderId="1" xfId="3" applyNumberFormat="1" applyFont="1" applyFill="1" applyBorder="1"/>
    <xf numFmtId="0" fontId="5" fillId="0" borderId="0" xfId="0" applyFont="1"/>
    <xf numFmtId="0" fontId="3" fillId="2" borderId="0" xfId="0" applyFont="1" applyFill="1"/>
    <xf numFmtId="0" fontId="7" fillId="0" borderId="1" xfId="0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2" borderId="1" xfId="6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/>
    </xf>
    <xf numFmtId="2" fontId="3" fillId="2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1" fontId="2" fillId="0" borderId="1" xfId="3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3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1" fontId="3" fillId="0" borderId="1" xfId="6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2" fontId="3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11" fillId="0" borderId="0" xfId="0" applyNumberFormat="1" applyFont="1" applyFill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2" fontId="14" fillId="0" borderId="1" xfId="3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/>
    <xf numFmtId="2" fontId="15" fillId="0" borderId="0" xfId="0" applyNumberFormat="1" applyFont="1" applyFill="1"/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/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3" fillId="0" borderId="1" xfId="5" applyFont="1" applyFill="1" applyBorder="1" applyAlignment="1">
      <alignment horizontal="left" vertical="center"/>
    </xf>
    <xf numFmtId="1" fontId="3" fillId="0" borderId="1" xfId="5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1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3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7" fillId="2" borderId="1" xfId="3" applyNumberFormat="1" applyFont="1" applyFill="1" applyBorder="1" applyAlignment="1">
      <alignment horizontal="center"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vertical="center"/>
    </xf>
    <xf numFmtId="1" fontId="7" fillId="0" borderId="1" xfId="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/>
    <xf numFmtId="2" fontId="17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3" fillId="0" borderId="0" xfId="0" applyFont="1" applyFill="1"/>
    <xf numFmtId="2" fontId="2" fillId="0" borderId="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vertical="center"/>
    </xf>
    <xf numFmtId="2" fontId="10" fillId="0" borderId="2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2" fontId="11" fillId="0" borderId="2" xfId="0" applyNumberFormat="1" applyFont="1" applyFill="1" applyBorder="1"/>
    <xf numFmtId="2" fontId="12" fillId="0" borderId="2" xfId="0" applyNumberFormat="1" applyFont="1" applyFill="1" applyBorder="1"/>
    <xf numFmtId="2" fontId="13" fillId="0" borderId="1" xfId="0" applyNumberFormat="1" applyFont="1" applyFill="1" applyBorder="1"/>
    <xf numFmtId="2" fontId="13" fillId="0" borderId="2" xfId="0" applyNumberFormat="1" applyFont="1" applyFill="1" applyBorder="1"/>
    <xf numFmtId="0" fontId="15" fillId="0" borderId="0" xfId="0" applyFont="1" applyFill="1"/>
    <xf numFmtId="1" fontId="15" fillId="0" borderId="0" xfId="0" applyNumberFormat="1" applyFont="1" applyFill="1" applyAlignment="1">
      <alignment horizontal="center"/>
    </xf>
    <xf numFmtId="0" fontId="9" fillId="2" borderId="1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2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2" fontId="17" fillId="0" borderId="0" xfId="0" applyNumberFormat="1" applyFont="1" applyFill="1" applyAlignment="1">
      <alignment horizontal="right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</cellXfs>
  <cellStyles count="7">
    <cellStyle name="Обычный" xfId="0" builtinId="0"/>
    <cellStyle name="Обычный_2 неделя" xfId="1" xr:uid="{00000000-0005-0000-0000-000002000000}"/>
    <cellStyle name="Обычный_Лист1" xfId="2" xr:uid="{00000000-0005-0000-0000-000003000000}"/>
    <cellStyle name="Обычный_Лист2" xfId="3" xr:uid="{00000000-0005-0000-0000-000004000000}"/>
    <cellStyle name="Обычный_Лист3" xfId="4" xr:uid="{00000000-0005-0000-0000-000005000000}"/>
    <cellStyle name="Обычный_ХЭХ 1С" xfId="5" xr:uid="{00000000-0005-0000-0000-000006000000}"/>
    <cellStyle name="Обычный_ХЭХ из 1С  (2)" xfId="6" xr:uid="{00000000-0005-0000-0000-000007000000}"/>
  </cellStyles>
  <dxfs count="23"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41"/>
  <sheetViews>
    <sheetView tabSelected="1" zoomScaleNormal="100" workbookViewId="0">
      <selection activeCell="B1" sqref="A1:L13"/>
    </sheetView>
  </sheetViews>
  <sheetFormatPr defaultColWidth="9" defaultRowHeight="18.75" x14ac:dyDescent="0.3"/>
  <cols>
    <col min="1" max="1" width="9.140625" style="68" customWidth="1"/>
    <col min="2" max="2" width="38.42578125" style="67" customWidth="1"/>
    <col min="3" max="3" width="9.85546875" style="69" customWidth="1"/>
    <col min="4" max="4" width="9.85546875" style="70" customWidth="1"/>
    <col min="5" max="5" width="10.28515625" style="70" customWidth="1"/>
    <col min="6" max="6" width="9.85546875" style="70" customWidth="1"/>
    <col min="7" max="7" width="12.7109375" style="70" customWidth="1"/>
    <col min="8" max="8" width="8.5703125" style="71" customWidth="1"/>
    <col min="9" max="9" width="7" style="71" customWidth="1"/>
    <col min="10" max="10" width="8" style="71" customWidth="1"/>
    <col min="11" max="11" width="9.85546875" style="71" customWidth="1"/>
    <col min="12" max="12" width="11" style="71" customWidth="1"/>
    <col min="13" max="16384" width="9" style="67"/>
  </cols>
  <sheetData>
    <row r="2" spans="1:15" x14ac:dyDescent="0.3">
      <c r="G2" s="137"/>
      <c r="H2" s="198"/>
      <c r="I2" s="198"/>
      <c r="J2" s="198"/>
      <c r="K2" s="198"/>
      <c r="L2" s="198"/>
    </row>
    <row r="3" spans="1:15" x14ac:dyDescent="0.3">
      <c r="G3" s="137"/>
      <c r="H3" s="198"/>
      <c r="I3" s="198"/>
      <c r="J3" s="198"/>
      <c r="K3" s="198"/>
      <c r="L3" s="198"/>
    </row>
    <row r="4" spans="1:15" x14ac:dyDescent="0.3">
      <c r="H4" s="198"/>
      <c r="I4" s="198"/>
      <c r="J4" s="198"/>
      <c r="K4" s="198"/>
      <c r="L4" s="198"/>
    </row>
    <row r="7" spans="1:15" s="54" customFormat="1" x14ac:dyDescent="0.3">
      <c r="A7" s="175"/>
      <c r="B7" s="175"/>
      <c r="D7" s="55"/>
      <c r="E7" s="55"/>
      <c r="J7" s="176"/>
      <c r="K7" s="176"/>
      <c r="L7" s="176"/>
      <c r="M7" s="74"/>
      <c r="N7" s="74"/>
      <c r="O7" s="74"/>
    </row>
    <row r="8" spans="1:15" s="54" customFormat="1" x14ac:dyDescent="0.3">
      <c r="A8" s="175"/>
      <c r="B8" s="175"/>
      <c r="D8" s="55"/>
      <c r="E8" s="55"/>
      <c r="I8" s="176"/>
      <c r="J8" s="176"/>
      <c r="K8" s="176"/>
      <c r="L8" s="176"/>
      <c r="M8" s="74"/>
      <c r="N8" s="74"/>
      <c r="O8" s="74"/>
    </row>
    <row r="9" spans="1:15" s="56" customFormat="1" ht="51.75" customHeight="1" x14ac:dyDescent="0.2">
      <c r="A9" s="172"/>
      <c r="B9" s="172"/>
      <c r="D9" s="57"/>
      <c r="E9" s="57"/>
      <c r="I9" s="177"/>
      <c r="J9" s="177"/>
      <c r="K9" s="177"/>
      <c r="L9" s="177"/>
      <c r="M9" s="72"/>
      <c r="N9" s="72"/>
      <c r="O9" s="72"/>
    </row>
    <row r="10" spans="1:15" s="56" customFormat="1" x14ac:dyDescent="0.2">
      <c r="A10" s="174"/>
      <c r="B10" s="174"/>
      <c r="C10" s="174"/>
      <c r="D10" s="174"/>
      <c r="E10" s="57"/>
      <c r="K10" s="57"/>
      <c r="L10" s="57"/>
      <c r="M10" s="57"/>
      <c r="N10" s="57"/>
      <c r="O10" s="57"/>
    </row>
    <row r="11" spans="1:15" s="56" customFormat="1" x14ac:dyDescent="0.2">
      <c r="A11" s="58"/>
      <c r="B11" s="58"/>
      <c r="D11" s="57"/>
      <c r="E11" s="57"/>
      <c r="K11" s="73"/>
      <c r="L11" s="73"/>
      <c r="M11" s="73"/>
      <c r="N11" s="73"/>
      <c r="O11" s="73"/>
    </row>
    <row r="12" spans="1:15" s="54" customFormat="1" x14ac:dyDescent="0.3">
      <c r="A12" s="76"/>
      <c r="B12" s="75"/>
      <c r="C12" s="59"/>
      <c r="D12" s="55"/>
      <c r="E12" s="55"/>
      <c r="G12" s="75"/>
      <c r="H12" s="75"/>
      <c r="I12" s="75"/>
      <c r="J12" s="178"/>
      <c r="K12" s="178"/>
      <c r="L12" s="178"/>
    </row>
    <row r="13" spans="1:15" s="54" customFormat="1" x14ac:dyDescent="0.3">
      <c r="A13" s="76"/>
      <c r="B13" s="60"/>
      <c r="D13" s="55"/>
      <c r="E13" s="55"/>
      <c r="K13" s="55"/>
      <c r="L13" s="61"/>
      <c r="M13" s="61"/>
      <c r="N13" s="61"/>
      <c r="O13" s="61"/>
    </row>
    <row r="14" spans="1:15" s="54" customFormat="1" x14ac:dyDescent="0.3">
      <c r="A14" s="59"/>
      <c r="B14" s="60"/>
      <c r="D14" s="55"/>
      <c r="E14" s="55"/>
      <c r="K14" s="55"/>
      <c r="L14" s="61"/>
      <c r="M14" s="61"/>
      <c r="N14" s="61"/>
      <c r="O14" s="61"/>
    </row>
    <row r="15" spans="1:15" s="62" customFormat="1" ht="21" customHeight="1" x14ac:dyDescent="0.2">
      <c r="A15" s="63"/>
      <c r="B15" s="173" t="s">
        <v>143</v>
      </c>
      <c r="C15" s="173"/>
      <c r="D15" s="173"/>
      <c r="E15" s="173"/>
      <c r="F15" s="173"/>
      <c r="G15" s="173"/>
      <c r="H15" s="72"/>
      <c r="I15" s="72"/>
      <c r="J15" s="72"/>
      <c r="K15" s="72"/>
    </row>
    <row r="16" spans="1:15" s="62" customFormat="1" ht="15.75" customHeight="1" x14ac:dyDescent="0.2">
      <c r="A16" s="63"/>
      <c r="B16" s="173"/>
      <c r="C16" s="173"/>
      <c r="D16" s="173"/>
      <c r="E16" s="173"/>
      <c r="F16" s="173"/>
      <c r="G16" s="173"/>
      <c r="H16" s="72"/>
      <c r="I16" s="72"/>
      <c r="J16" s="72"/>
      <c r="K16" s="72"/>
    </row>
    <row r="17" spans="1:15" s="62" customFormat="1" ht="15.75" customHeight="1" x14ac:dyDescent="0.2">
      <c r="A17" s="63"/>
      <c r="B17" s="173"/>
      <c r="C17" s="173"/>
      <c r="D17" s="173"/>
      <c r="E17" s="173"/>
      <c r="F17" s="173"/>
      <c r="G17" s="173"/>
      <c r="H17" s="72"/>
      <c r="I17" s="72"/>
      <c r="J17" s="72"/>
      <c r="K17" s="72"/>
    </row>
    <row r="18" spans="1:15" s="62" customFormat="1" ht="15.75" customHeight="1" x14ac:dyDescent="0.2">
      <c r="A18" s="63"/>
      <c r="B18" s="173"/>
      <c r="C18" s="173"/>
      <c r="D18" s="173"/>
      <c r="E18" s="173"/>
      <c r="F18" s="173"/>
      <c r="G18" s="173"/>
      <c r="H18" s="72"/>
      <c r="I18" s="72"/>
      <c r="J18" s="72"/>
      <c r="K18" s="72"/>
    </row>
    <row r="19" spans="1:15" s="62" customFormat="1" ht="15.75" customHeight="1" x14ac:dyDescent="0.2">
      <c r="A19" s="63"/>
      <c r="B19" s="173"/>
      <c r="C19" s="173"/>
      <c r="D19" s="173"/>
      <c r="E19" s="173"/>
      <c r="F19" s="173"/>
      <c r="G19" s="173"/>
      <c r="H19" s="72"/>
      <c r="I19" s="72"/>
      <c r="J19" s="72"/>
      <c r="K19" s="72"/>
    </row>
    <row r="20" spans="1:15" s="62" customFormat="1" ht="15.75" customHeight="1" x14ac:dyDescent="0.2">
      <c r="A20" s="1"/>
      <c r="B20" s="173"/>
      <c r="C20" s="173"/>
      <c r="D20" s="173"/>
      <c r="E20" s="173"/>
      <c r="F20" s="173"/>
      <c r="G20" s="173"/>
      <c r="H20" s="72"/>
      <c r="I20" s="72"/>
      <c r="J20" s="72"/>
      <c r="K20" s="72"/>
    </row>
    <row r="21" spans="1:15" s="62" customFormat="1" ht="15.75" customHeight="1" x14ac:dyDescent="0.2">
      <c r="A21" s="1"/>
      <c r="B21" s="173"/>
      <c r="C21" s="173"/>
      <c r="D21" s="173"/>
      <c r="E21" s="173"/>
      <c r="F21" s="173"/>
      <c r="G21" s="173"/>
      <c r="H21" s="72"/>
      <c r="I21" s="72"/>
      <c r="J21" s="72"/>
      <c r="K21" s="72"/>
    </row>
    <row r="22" spans="1:15" s="62" customFormat="1" ht="15.75" customHeight="1" x14ac:dyDescent="0.2">
      <c r="A22" s="63"/>
      <c r="B22" s="173"/>
      <c r="C22" s="173"/>
      <c r="D22" s="173"/>
      <c r="E22" s="173"/>
      <c r="F22" s="173"/>
      <c r="G22" s="173"/>
      <c r="H22" s="72"/>
      <c r="I22" s="72"/>
      <c r="J22" s="72"/>
      <c r="K22" s="72"/>
    </row>
    <row r="23" spans="1:15" s="62" customFormat="1" ht="15.75" customHeight="1" x14ac:dyDescent="0.2">
      <c r="A23" s="63"/>
      <c r="B23" s="173"/>
      <c r="C23" s="173"/>
      <c r="D23" s="173"/>
      <c r="E23" s="173"/>
      <c r="F23" s="173"/>
      <c r="G23" s="173"/>
      <c r="H23" s="72"/>
      <c r="I23" s="72"/>
      <c r="J23" s="72"/>
      <c r="K23" s="72"/>
    </row>
    <row r="24" spans="1:15" s="62" customFormat="1" ht="15.75" customHeight="1" x14ac:dyDescent="0.2">
      <c r="A24" s="64"/>
      <c r="B24" s="173"/>
      <c r="C24" s="173"/>
      <c r="D24" s="173"/>
      <c r="E24" s="173"/>
      <c r="F24" s="173"/>
      <c r="G24" s="173"/>
      <c r="H24" s="72"/>
      <c r="I24" s="72"/>
      <c r="J24" s="72"/>
      <c r="K24" s="72"/>
    </row>
    <row r="25" spans="1:15" s="62" customFormat="1" ht="15.75" customHeight="1" x14ac:dyDescent="0.2">
      <c r="A25" s="58"/>
      <c r="B25" s="173"/>
      <c r="C25" s="173"/>
      <c r="D25" s="173"/>
      <c r="E25" s="173"/>
      <c r="F25" s="173"/>
      <c r="G25" s="173"/>
      <c r="H25" s="72"/>
      <c r="I25" s="72"/>
      <c r="J25" s="72"/>
      <c r="K25" s="72"/>
    </row>
    <row r="26" spans="1:15" s="62" customFormat="1" ht="15.75" customHeight="1" x14ac:dyDescent="0.2">
      <c r="A26" s="58"/>
      <c r="B26" s="173"/>
      <c r="C26" s="173"/>
      <c r="D26" s="173"/>
      <c r="E26" s="173"/>
      <c r="F26" s="173"/>
      <c r="G26" s="173"/>
      <c r="H26" s="72"/>
      <c r="I26" s="72"/>
      <c r="J26" s="72"/>
      <c r="K26" s="72"/>
    </row>
    <row r="27" spans="1:15" s="62" customFormat="1" ht="15.75" customHeight="1" x14ac:dyDescent="0.2">
      <c r="A27" s="58"/>
      <c r="B27" s="173"/>
      <c r="C27" s="173"/>
      <c r="D27" s="173"/>
      <c r="E27" s="173"/>
      <c r="F27" s="173"/>
      <c r="G27" s="173"/>
      <c r="H27" s="72"/>
      <c r="I27" s="72"/>
      <c r="J27" s="72"/>
      <c r="K27" s="72"/>
    </row>
    <row r="28" spans="1:15" s="62" customFormat="1" ht="15.75" customHeight="1" x14ac:dyDescent="0.2">
      <c r="A28" s="58"/>
      <c r="B28" s="173"/>
      <c r="C28" s="173"/>
      <c r="D28" s="173"/>
      <c r="E28" s="173"/>
      <c r="F28" s="173"/>
      <c r="G28" s="173"/>
      <c r="H28" s="72"/>
      <c r="I28" s="72"/>
      <c r="J28" s="72"/>
      <c r="K28" s="72"/>
    </row>
    <row r="29" spans="1:15" s="65" customFormat="1" x14ac:dyDescent="0.3">
      <c r="A29" s="183" t="s">
        <v>0</v>
      </c>
      <c r="B29" s="183"/>
      <c r="C29" s="183"/>
      <c r="D29" s="183"/>
      <c r="E29" s="183"/>
      <c r="F29" s="183"/>
      <c r="G29" s="183"/>
      <c r="H29" s="66"/>
      <c r="I29" s="66"/>
      <c r="J29" s="66"/>
      <c r="K29" s="66"/>
      <c r="L29" s="66"/>
      <c r="M29" s="67"/>
      <c r="N29" s="67"/>
      <c r="O29" s="67"/>
    </row>
    <row r="30" spans="1:15" s="65" customFormat="1" ht="24" customHeight="1" x14ac:dyDescent="0.3">
      <c r="A30" s="184" t="s">
        <v>1</v>
      </c>
      <c r="B30" s="184" t="s">
        <v>2</v>
      </c>
      <c r="C30" s="185" t="s">
        <v>3</v>
      </c>
      <c r="D30" s="181" t="s">
        <v>4</v>
      </c>
      <c r="E30" s="181"/>
      <c r="F30" s="181"/>
      <c r="G30" s="181" t="s">
        <v>5</v>
      </c>
      <c r="H30" s="181" t="s">
        <v>6</v>
      </c>
      <c r="I30" s="181"/>
      <c r="J30" s="181"/>
      <c r="K30" s="181" t="s">
        <v>7</v>
      </c>
      <c r="L30" s="181"/>
      <c r="M30" s="98"/>
      <c r="N30" s="98"/>
      <c r="O30" s="98"/>
    </row>
    <row r="31" spans="1:15" ht="21.75" customHeight="1" x14ac:dyDescent="0.3">
      <c r="A31" s="184"/>
      <c r="B31" s="184"/>
      <c r="C31" s="185"/>
      <c r="D31" s="22" t="s">
        <v>8</v>
      </c>
      <c r="E31" s="22" t="s">
        <v>9</v>
      </c>
      <c r="F31" s="22" t="s">
        <v>10</v>
      </c>
      <c r="G31" s="181"/>
      <c r="H31" s="22" t="s">
        <v>11</v>
      </c>
      <c r="I31" s="22" t="s">
        <v>12</v>
      </c>
      <c r="J31" s="22" t="s">
        <v>13</v>
      </c>
      <c r="K31" s="22" t="s">
        <v>14</v>
      </c>
      <c r="L31" s="22" t="s">
        <v>15</v>
      </c>
      <c r="M31" s="98"/>
      <c r="N31" s="98"/>
      <c r="O31" s="98"/>
    </row>
    <row r="32" spans="1:15" s="98" customFormat="1" ht="19.5" x14ac:dyDescent="0.3">
      <c r="A32" s="186" t="s">
        <v>16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67"/>
      <c r="N32" s="67"/>
      <c r="O32" s="67"/>
    </row>
    <row r="33" spans="1:15" s="98" customFormat="1" ht="28.5" customHeight="1" x14ac:dyDescent="0.25">
      <c r="A33" s="99">
        <v>120</v>
      </c>
      <c r="B33" s="8" t="s">
        <v>17</v>
      </c>
      <c r="C33" s="9">
        <v>200</v>
      </c>
      <c r="D33" s="10">
        <f>21.88*0.2</f>
        <v>4.3760000000000003</v>
      </c>
      <c r="E33" s="10">
        <f>18.98*0.2</f>
        <v>3.7960000000000003</v>
      </c>
      <c r="F33" s="10">
        <f>71.82*0.2</f>
        <v>14.363999999999999</v>
      </c>
      <c r="G33" s="10">
        <f>600*0.2</f>
        <v>120</v>
      </c>
      <c r="H33" s="11">
        <f>0.36*0.3</f>
        <v>0.108</v>
      </c>
      <c r="I33" s="11">
        <f>0.74*0.2</f>
        <v>0.14799999999999999</v>
      </c>
      <c r="J33" s="11">
        <f>3.3*0.2</f>
        <v>0.66</v>
      </c>
      <c r="K33" s="11">
        <f>652*0.2-20</f>
        <v>110.4</v>
      </c>
      <c r="L33" s="11">
        <f>547*0.3</f>
        <v>164.1</v>
      </c>
      <c r="M33" s="5"/>
      <c r="N33" s="5"/>
      <c r="O33" s="5"/>
    </row>
    <row r="34" spans="1:15" x14ac:dyDescent="0.3">
      <c r="A34" s="99">
        <v>14</v>
      </c>
      <c r="B34" s="8" t="s">
        <v>18</v>
      </c>
      <c r="C34" s="9">
        <v>10</v>
      </c>
      <c r="D34" s="10">
        <v>0.08</v>
      </c>
      <c r="E34" s="10">
        <f>7.25-1</f>
        <v>6.25</v>
      </c>
      <c r="F34" s="10">
        <v>0.13</v>
      </c>
      <c r="G34" s="10">
        <v>66.09</v>
      </c>
      <c r="H34" s="11"/>
      <c r="I34" s="11">
        <v>0.01</v>
      </c>
      <c r="J34" s="11"/>
      <c r="K34" s="11">
        <v>2.4</v>
      </c>
      <c r="L34" s="11">
        <v>3</v>
      </c>
      <c r="M34" s="5"/>
      <c r="N34" s="5"/>
      <c r="O34" s="5"/>
    </row>
    <row r="35" spans="1:15" s="5" customFormat="1" ht="31.5" customHeight="1" x14ac:dyDescent="0.25">
      <c r="A35" s="100" t="s">
        <v>19</v>
      </c>
      <c r="B35" s="13" t="s">
        <v>20</v>
      </c>
      <c r="C35" s="12">
        <v>15</v>
      </c>
      <c r="D35" s="14">
        <v>4</v>
      </c>
      <c r="E35" s="14">
        <v>3.9</v>
      </c>
      <c r="F35" s="14">
        <v>0</v>
      </c>
      <c r="G35" s="14">
        <v>54</v>
      </c>
      <c r="H35" s="15">
        <v>5.0000000000000001E-3</v>
      </c>
      <c r="I35" s="15">
        <v>0.09</v>
      </c>
      <c r="J35" s="15">
        <v>0.1</v>
      </c>
      <c r="K35" s="15">
        <f>132-50</f>
        <v>82</v>
      </c>
      <c r="L35" s="15">
        <v>75</v>
      </c>
    </row>
    <row r="36" spans="1:15" s="5" customFormat="1" ht="15.75" x14ac:dyDescent="0.25">
      <c r="A36" s="99" t="s">
        <v>21</v>
      </c>
      <c r="B36" s="8" t="s">
        <v>22</v>
      </c>
      <c r="C36" s="9">
        <v>40</v>
      </c>
      <c r="D36" s="10">
        <v>5.08</v>
      </c>
      <c r="E36" s="10">
        <v>4.5999999999999996</v>
      </c>
      <c r="F36" s="10">
        <v>0.28000000000000003</v>
      </c>
      <c r="G36" s="10">
        <v>63</v>
      </c>
      <c r="H36" s="11">
        <v>0.03</v>
      </c>
      <c r="I36" s="11">
        <v>0.03</v>
      </c>
      <c r="J36" s="11"/>
      <c r="K36" s="11">
        <v>22</v>
      </c>
      <c r="L36" s="11">
        <v>76.8</v>
      </c>
    </row>
    <row r="37" spans="1:15" s="5" customFormat="1" ht="15.75" x14ac:dyDescent="0.25">
      <c r="A37" s="101" t="s">
        <v>23</v>
      </c>
      <c r="B37" s="8" t="s">
        <v>24</v>
      </c>
      <c r="C37" s="9">
        <v>100</v>
      </c>
      <c r="D37" s="10">
        <v>0.4</v>
      </c>
      <c r="E37" s="10">
        <v>0.2</v>
      </c>
      <c r="F37" s="10">
        <v>9.8000000000000007</v>
      </c>
      <c r="G37" s="10">
        <v>47</v>
      </c>
      <c r="H37" s="11">
        <v>0.04</v>
      </c>
      <c r="I37" s="11">
        <v>0.05</v>
      </c>
      <c r="J37" s="11">
        <v>10</v>
      </c>
      <c r="K37" s="11">
        <v>16</v>
      </c>
      <c r="L37" s="11">
        <v>11</v>
      </c>
    </row>
    <row r="38" spans="1:15" s="5" customFormat="1" ht="15.75" x14ac:dyDescent="0.25">
      <c r="A38" s="102" t="s">
        <v>25</v>
      </c>
      <c r="B38" s="16" t="s">
        <v>26</v>
      </c>
      <c r="C38" s="17">
        <v>222</v>
      </c>
      <c r="D38" s="18">
        <v>0.13</v>
      </c>
      <c r="E38" s="18">
        <v>0.02</v>
      </c>
      <c r="F38" s="18">
        <v>15.2</v>
      </c>
      <c r="G38" s="18">
        <v>62</v>
      </c>
      <c r="H38" s="19"/>
      <c r="I38" s="19"/>
      <c r="J38" s="19">
        <v>2.83</v>
      </c>
      <c r="K38" s="19">
        <v>14.2</v>
      </c>
      <c r="L38" s="19">
        <v>4.4000000000000004</v>
      </c>
    </row>
    <row r="39" spans="1:15" s="5" customFormat="1" ht="15.75" x14ac:dyDescent="0.25">
      <c r="A39" s="99"/>
      <c r="B39" s="16" t="s">
        <v>27</v>
      </c>
      <c r="C39" s="17">
        <v>40</v>
      </c>
      <c r="D39" s="18">
        <v>3.2</v>
      </c>
      <c r="E39" s="18">
        <v>0.79</v>
      </c>
      <c r="F39" s="18">
        <v>29.68</v>
      </c>
      <c r="G39" s="18">
        <v>104</v>
      </c>
      <c r="H39" s="19">
        <v>6.2000000000000006E-2</v>
      </c>
      <c r="I39" s="19"/>
      <c r="J39" s="19">
        <v>0.8</v>
      </c>
      <c r="K39" s="19">
        <v>18.044444444444444</v>
      </c>
      <c r="L39" s="19">
        <v>26</v>
      </c>
    </row>
    <row r="40" spans="1:15" s="5" customFormat="1" ht="15.75" x14ac:dyDescent="0.25">
      <c r="A40" s="103"/>
      <c r="B40" s="20" t="s">
        <v>28</v>
      </c>
      <c r="C40" s="20">
        <f>SUM(C33:C39)</f>
        <v>627</v>
      </c>
      <c r="D40" s="21">
        <f t="shared" ref="D40:L40" si="0">SUM(D33:D39)</f>
        <v>17.266000000000002</v>
      </c>
      <c r="E40" s="21">
        <f t="shared" si="0"/>
        <v>19.555999999999997</v>
      </c>
      <c r="F40" s="21">
        <f t="shared" si="0"/>
        <v>69.454000000000008</v>
      </c>
      <c r="G40" s="21">
        <f t="shared" si="0"/>
        <v>516.09</v>
      </c>
      <c r="H40" s="22">
        <f t="shared" si="0"/>
        <v>0.24500000000000002</v>
      </c>
      <c r="I40" s="22">
        <f>SUM(I33:I39)</f>
        <v>0.32800000000000001</v>
      </c>
      <c r="J40" s="22">
        <f t="shared" si="0"/>
        <v>14.39</v>
      </c>
      <c r="K40" s="22">
        <f t="shared" si="0"/>
        <v>265.04444444444442</v>
      </c>
      <c r="L40" s="22">
        <f t="shared" si="0"/>
        <v>360.29999999999995</v>
      </c>
    </row>
    <row r="41" spans="1:15" s="5" customFormat="1" ht="15.75" x14ac:dyDescent="0.25">
      <c r="A41" s="171" t="s">
        <v>29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</row>
    <row r="42" spans="1:15" s="5" customFormat="1" ht="15.75" x14ac:dyDescent="0.25">
      <c r="A42" s="99"/>
      <c r="B42" s="8" t="s">
        <v>30</v>
      </c>
      <c r="C42" s="9">
        <v>60</v>
      </c>
      <c r="D42" s="10">
        <v>0.66</v>
      </c>
      <c r="E42" s="10">
        <v>0.12</v>
      </c>
      <c r="F42" s="10">
        <v>2.2799999999999998</v>
      </c>
      <c r="G42" s="10">
        <v>14.4</v>
      </c>
      <c r="H42" s="11">
        <v>3.5999999999999997E-2</v>
      </c>
      <c r="I42" s="11">
        <v>0.1</v>
      </c>
      <c r="J42" s="11">
        <v>11</v>
      </c>
      <c r="K42" s="11">
        <v>12.2</v>
      </c>
      <c r="L42" s="11">
        <v>15.6</v>
      </c>
    </row>
    <row r="43" spans="1:15" s="5" customFormat="1" ht="15.75" x14ac:dyDescent="0.25">
      <c r="A43" s="104">
        <v>82</v>
      </c>
      <c r="B43" s="23" t="s">
        <v>31</v>
      </c>
      <c r="C43" s="24">
        <v>200</v>
      </c>
      <c r="D43" s="25">
        <f>7.21*0.2</f>
        <v>1.4420000000000002</v>
      </c>
      <c r="E43" s="25">
        <f>19.68*0.2+3</f>
        <v>6.9359999999999999</v>
      </c>
      <c r="F43" s="25">
        <f>47.73*0.2-1</f>
        <v>8.5459999999999994</v>
      </c>
      <c r="G43" s="25">
        <f>415*0.2</f>
        <v>83</v>
      </c>
      <c r="H43" s="26">
        <f>0.2*0.2</f>
        <v>4.0000000000000008E-2</v>
      </c>
      <c r="I43" s="26">
        <f>0.19*0.4</f>
        <v>7.6000000000000012E-2</v>
      </c>
      <c r="J43" s="26">
        <f>42.7*0.2-1</f>
        <v>7.5400000000000009</v>
      </c>
      <c r="K43" s="26">
        <v>51</v>
      </c>
      <c r="L43" s="26">
        <f>1359.5*0.1</f>
        <v>135.95000000000002</v>
      </c>
    </row>
    <row r="44" spans="1:15" s="5" customFormat="1" ht="15.75" x14ac:dyDescent="0.25">
      <c r="A44" s="99" t="s">
        <v>32</v>
      </c>
      <c r="B44" s="8" t="s">
        <v>33</v>
      </c>
      <c r="C44" s="9">
        <v>90</v>
      </c>
      <c r="D44" s="25">
        <f>8.27/80*90+2</f>
        <v>11.303749999999999</v>
      </c>
      <c r="E44" s="25">
        <f>10.02/80*90</f>
        <v>11.272500000000001</v>
      </c>
      <c r="F44" s="25">
        <f>8.79/80</f>
        <v>0.10987499999999999</v>
      </c>
      <c r="G44" s="25">
        <f>131/80*90</f>
        <v>147.375</v>
      </c>
      <c r="H44" s="26">
        <f>0.04/80*90</f>
        <v>4.4999999999999998E-2</v>
      </c>
      <c r="I44" s="26">
        <f>0.09/80*90</f>
        <v>0.10124999999999999</v>
      </c>
      <c r="J44" s="26">
        <f>0.18/80*90</f>
        <v>0.20249999999999999</v>
      </c>
      <c r="K44" s="26">
        <f>38.56</f>
        <v>38.56</v>
      </c>
      <c r="L44" s="26">
        <f>99.71/80*90</f>
        <v>112.17375</v>
      </c>
    </row>
    <row r="45" spans="1:15" s="5" customFormat="1" ht="15.75" x14ac:dyDescent="0.25">
      <c r="A45" s="99" t="s">
        <v>34</v>
      </c>
      <c r="B45" s="8" t="s">
        <v>35</v>
      </c>
      <c r="C45" s="9">
        <v>150</v>
      </c>
      <c r="D45" s="10">
        <f>52.73*0.15-2</f>
        <v>5.9094999999999995</v>
      </c>
      <c r="E45" s="10">
        <f>40.62*0.15</f>
        <v>6.0929999999999991</v>
      </c>
      <c r="F45" s="10">
        <f>257.61*0.15</f>
        <v>38.641500000000001</v>
      </c>
      <c r="G45" s="10">
        <f>1652*0.15</f>
        <v>247.79999999999998</v>
      </c>
      <c r="H45" s="11">
        <f>1.39*0.1</f>
        <v>0.13899999999999998</v>
      </c>
      <c r="I45" s="11">
        <f>0.75*0.2</f>
        <v>0.15000000000000002</v>
      </c>
      <c r="J45" s="11"/>
      <c r="K45" s="11">
        <v>98.8</v>
      </c>
      <c r="L45" s="11">
        <f>1625*0.15</f>
        <v>243.75</v>
      </c>
    </row>
    <row r="46" spans="1:15" s="5" customFormat="1" ht="15.75" x14ac:dyDescent="0.25">
      <c r="A46" s="115" t="s">
        <v>36</v>
      </c>
      <c r="B46" s="8" t="s">
        <v>37</v>
      </c>
      <c r="C46" s="9">
        <v>200</v>
      </c>
      <c r="D46" s="10">
        <f>0.8*0.2</f>
        <v>0.16000000000000003</v>
      </c>
      <c r="E46" s="10">
        <f>0.8*0.2</f>
        <v>0.16000000000000003</v>
      </c>
      <c r="F46" s="10">
        <f>139*0.2</f>
        <v>27.8</v>
      </c>
      <c r="G46" s="10">
        <f>573*0.2</f>
        <v>114.60000000000001</v>
      </c>
      <c r="H46" s="11">
        <f>0.06*0.2</f>
        <v>1.2E-2</v>
      </c>
      <c r="I46" s="11">
        <f>0.04*0.2</f>
        <v>8.0000000000000002E-3</v>
      </c>
      <c r="J46" s="11">
        <f>4.5*0.2</f>
        <v>0.9</v>
      </c>
      <c r="K46" s="11">
        <v>91</v>
      </c>
      <c r="L46" s="11">
        <f>22*0.2</f>
        <v>4.4000000000000004</v>
      </c>
    </row>
    <row r="47" spans="1:15" s="5" customFormat="1" ht="15.75" x14ac:dyDescent="0.25">
      <c r="A47" s="101"/>
      <c r="B47" s="8" t="s">
        <v>38</v>
      </c>
      <c r="C47" s="9">
        <v>20</v>
      </c>
      <c r="D47" s="10">
        <v>1.32</v>
      </c>
      <c r="E47" s="10">
        <v>0.24</v>
      </c>
      <c r="F47" s="10">
        <v>7.9279999999999999</v>
      </c>
      <c r="G47" s="10">
        <v>39.6</v>
      </c>
      <c r="H47" s="11">
        <v>3.4000000000000002E-2</v>
      </c>
      <c r="I47" s="11"/>
      <c r="J47" s="11">
        <v>0</v>
      </c>
      <c r="K47" s="11">
        <v>5.8</v>
      </c>
      <c r="L47" s="11">
        <v>30</v>
      </c>
    </row>
    <row r="48" spans="1:15" s="5" customFormat="1" ht="15.75" x14ac:dyDescent="0.25">
      <c r="A48" s="99"/>
      <c r="B48" s="16" t="s">
        <v>27</v>
      </c>
      <c r="C48" s="17">
        <v>40</v>
      </c>
      <c r="D48" s="18">
        <v>3.2</v>
      </c>
      <c r="E48" s="18">
        <v>0.79</v>
      </c>
      <c r="F48" s="18">
        <v>29.68</v>
      </c>
      <c r="G48" s="18">
        <v>104</v>
      </c>
      <c r="H48" s="19">
        <v>6.2000000000000006E-2</v>
      </c>
      <c r="I48" s="19"/>
      <c r="J48" s="19">
        <v>0.8</v>
      </c>
      <c r="K48" s="19">
        <v>38.04</v>
      </c>
      <c r="L48" s="19">
        <v>26</v>
      </c>
    </row>
    <row r="49" spans="1:15" s="5" customFormat="1" ht="17.25" customHeight="1" x14ac:dyDescent="0.25">
      <c r="A49" s="118"/>
      <c r="B49" s="29" t="s">
        <v>39</v>
      </c>
      <c r="C49" s="49">
        <f t="shared" ref="C49:L49" si="1">SUM(C42:C48)</f>
        <v>760</v>
      </c>
      <c r="D49" s="27">
        <f>SUM(D42:D48)</f>
        <v>23.995249999999999</v>
      </c>
      <c r="E49" s="27">
        <f t="shared" si="1"/>
        <v>25.611499999999999</v>
      </c>
      <c r="F49" s="27">
        <f t="shared" si="1"/>
        <v>114.985375</v>
      </c>
      <c r="G49" s="27">
        <f t="shared" si="1"/>
        <v>750.77499999999998</v>
      </c>
      <c r="H49" s="28">
        <f t="shared" si="1"/>
        <v>0.36800000000000005</v>
      </c>
      <c r="I49" s="28">
        <f>SUM(I42:I48)</f>
        <v>0.43525000000000003</v>
      </c>
      <c r="J49" s="28">
        <f t="shared" si="1"/>
        <v>20.442499999999999</v>
      </c>
      <c r="K49" s="28">
        <f>SUM(K42:K48)</f>
        <v>335.40000000000003</v>
      </c>
      <c r="L49" s="28">
        <f t="shared" si="1"/>
        <v>567.87374999999997</v>
      </c>
    </row>
    <row r="50" spans="1:15" s="5" customFormat="1" ht="15.75" x14ac:dyDescent="0.25">
      <c r="A50" s="105"/>
      <c r="B50" s="30" t="s">
        <v>40</v>
      </c>
      <c r="C50" s="20">
        <f t="shared" ref="C50:L50" si="2">C49+C40</f>
        <v>1387</v>
      </c>
      <c r="D50" s="21">
        <f t="shared" si="2"/>
        <v>41.261250000000004</v>
      </c>
      <c r="E50" s="21">
        <f t="shared" si="2"/>
        <v>45.167499999999997</v>
      </c>
      <c r="F50" s="21">
        <f t="shared" si="2"/>
        <v>184.43937500000001</v>
      </c>
      <c r="G50" s="21">
        <f t="shared" si="2"/>
        <v>1266.865</v>
      </c>
      <c r="H50" s="22">
        <f t="shared" si="2"/>
        <v>0.6130000000000001</v>
      </c>
      <c r="I50" s="22">
        <f>I49+I40</f>
        <v>0.76324999999999998</v>
      </c>
      <c r="J50" s="22">
        <f t="shared" si="2"/>
        <v>34.832499999999996</v>
      </c>
      <c r="K50" s="22">
        <f t="shared" si="2"/>
        <v>600.44444444444446</v>
      </c>
      <c r="L50" s="22">
        <f t="shared" si="2"/>
        <v>928.17374999999993</v>
      </c>
    </row>
    <row r="51" spans="1:15" s="5" customFormat="1" ht="15.75" x14ac:dyDescent="0.25">
      <c r="A51" s="182" t="s">
        <v>41</v>
      </c>
      <c r="B51" s="182"/>
      <c r="C51" s="182"/>
      <c r="D51" s="182"/>
      <c r="E51" s="182"/>
      <c r="F51" s="182"/>
      <c r="G51" s="182"/>
      <c r="H51" s="3"/>
      <c r="I51" s="3"/>
      <c r="J51" s="3"/>
      <c r="K51" s="3"/>
      <c r="L51" s="3"/>
    </row>
    <row r="52" spans="1:15" s="5" customFormat="1" ht="15.75" x14ac:dyDescent="0.25">
      <c r="A52" s="171" t="s">
        <v>16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</row>
    <row r="53" spans="1:15" s="5" customFormat="1" ht="15.75" x14ac:dyDescent="0.25">
      <c r="A53" s="106" t="s">
        <v>101</v>
      </c>
      <c r="B53" s="32" t="s">
        <v>142</v>
      </c>
      <c r="C53" s="31">
        <v>150</v>
      </c>
      <c r="D53" s="19">
        <v>12.62</v>
      </c>
      <c r="E53" s="19">
        <f>20.89-5</f>
        <v>15.89</v>
      </c>
      <c r="F53" s="19">
        <f>19.8</f>
        <v>19.8</v>
      </c>
      <c r="G53" s="19">
        <f>325-20</f>
        <v>305</v>
      </c>
      <c r="H53" s="19">
        <f>0.25-0.08</f>
        <v>0.16999999999999998</v>
      </c>
      <c r="I53" s="19">
        <v>0.25</v>
      </c>
      <c r="J53" s="19">
        <f>1.28-0.04</f>
        <v>1.24</v>
      </c>
      <c r="K53" s="19">
        <v>142.44999999999999</v>
      </c>
      <c r="L53" s="19">
        <v>283.14999999999998</v>
      </c>
    </row>
    <row r="54" spans="1:15" s="5" customFormat="1" ht="15.75" x14ac:dyDescent="0.25">
      <c r="A54" s="107" t="s">
        <v>23</v>
      </c>
      <c r="B54" s="34" t="s">
        <v>24</v>
      </c>
      <c r="C54" s="33">
        <v>100</v>
      </c>
      <c r="D54" s="11">
        <v>0.4</v>
      </c>
      <c r="E54" s="11">
        <v>0.2</v>
      </c>
      <c r="F54" s="11">
        <v>9.8000000000000007</v>
      </c>
      <c r="G54" s="11">
        <v>47</v>
      </c>
      <c r="H54" s="11">
        <v>0.04</v>
      </c>
      <c r="I54" s="11">
        <v>0.05</v>
      </c>
      <c r="J54" s="11">
        <v>10</v>
      </c>
      <c r="K54" s="11">
        <v>16</v>
      </c>
      <c r="L54" s="11">
        <v>11</v>
      </c>
    </row>
    <row r="55" spans="1:15" s="5" customFormat="1" ht="15.75" x14ac:dyDescent="0.25">
      <c r="A55" s="108"/>
      <c r="B55" s="34" t="s">
        <v>44</v>
      </c>
      <c r="C55" s="33">
        <v>15</v>
      </c>
      <c r="D55" s="26">
        <f>7.5*0.15</f>
        <v>1.125</v>
      </c>
      <c r="E55" s="26">
        <f>9.8*0.15</f>
        <v>1.47</v>
      </c>
      <c r="F55" s="26">
        <f>74.4*0.15-2</f>
        <v>9.16</v>
      </c>
      <c r="G55" s="26">
        <f>417*0.15-2.5</f>
        <v>60.05</v>
      </c>
      <c r="H55" s="26"/>
      <c r="I55" s="26"/>
      <c r="J55" s="26">
        <v>0.1</v>
      </c>
      <c r="K55" s="26">
        <v>42</v>
      </c>
      <c r="L55" s="26">
        <v>33</v>
      </c>
    </row>
    <row r="56" spans="1:15" s="5" customFormat="1" ht="15.75" x14ac:dyDescent="0.25">
      <c r="A56" s="102" t="s">
        <v>25</v>
      </c>
      <c r="B56" s="16" t="s">
        <v>26</v>
      </c>
      <c r="C56" s="17">
        <v>222</v>
      </c>
      <c r="D56" s="18">
        <v>0.13</v>
      </c>
      <c r="E56" s="18">
        <v>0.02</v>
      </c>
      <c r="F56" s="18">
        <v>15.2</v>
      </c>
      <c r="G56" s="18">
        <v>62</v>
      </c>
      <c r="H56" s="19"/>
      <c r="I56" s="19"/>
      <c r="J56" s="19">
        <v>2.83</v>
      </c>
      <c r="K56" s="19">
        <v>14.2</v>
      </c>
      <c r="L56" s="19">
        <v>4.4000000000000004</v>
      </c>
    </row>
    <row r="57" spans="1:15" s="5" customFormat="1" ht="15.75" x14ac:dyDescent="0.25">
      <c r="A57" s="108"/>
      <c r="B57" s="36" t="s">
        <v>27</v>
      </c>
      <c r="C57" s="37">
        <v>40</v>
      </c>
      <c r="D57" s="19">
        <v>3.2</v>
      </c>
      <c r="E57" s="19">
        <v>0.79</v>
      </c>
      <c r="F57" s="19">
        <v>29.68</v>
      </c>
      <c r="G57" s="19">
        <v>104</v>
      </c>
      <c r="H57" s="19">
        <v>6.2000000000000006E-2</v>
      </c>
      <c r="I57" s="19"/>
      <c r="J57" s="19">
        <v>0.8</v>
      </c>
      <c r="K57" s="19">
        <v>18.044444444444444</v>
      </c>
      <c r="L57" s="19">
        <v>26</v>
      </c>
    </row>
    <row r="58" spans="1:15" s="5" customFormat="1" ht="15.75" x14ac:dyDescent="0.25">
      <c r="A58" s="119"/>
      <c r="B58" s="45" t="s">
        <v>28</v>
      </c>
      <c r="C58" s="41">
        <f t="shared" ref="C58:L58" si="3">SUM(C53:C57)</f>
        <v>527</v>
      </c>
      <c r="D58" s="28">
        <f t="shared" si="3"/>
        <v>17.475000000000001</v>
      </c>
      <c r="E58" s="28">
        <f t="shared" si="3"/>
        <v>18.369999999999997</v>
      </c>
      <c r="F58" s="28">
        <f t="shared" si="3"/>
        <v>83.640000000000015</v>
      </c>
      <c r="G58" s="28">
        <f t="shared" si="3"/>
        <v>578.04999999999995</v>
      </c>
      <c r="H58" s="28">
        <f t="shared" si="3"/>
        <v>0.27200000000000002</v>
      </c>
      <c r="I58" s="28">
        <f t="shared" si="3"/>
        <v>0.3</v>
      </c>
      <c r="J58" s="28">
        <f t="shared" si="3"/>
        <v>14.97</v>
      </c>
      <c r="K58" s="28">
        <f t="shared" si="3"/>
        <v>232.69444444444443</v>
      </c>
      <c r="L58" s="28">
        <f t="shared" si="3"/>
        <v>357.54999999999995</v>
      </c>
    </row>
    <row r="59" spans="1:15" s="5" customFormat="1" ht="15.75" x14ac:dyDescent="0.25">
      <c r="A59" s="180" t="s">
        <v>29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</row>
    <row r="60" spans="1:15" s="5" customFormat="1" ht="15.75" x14ac:dyDescent="0.25">
      <c r="A60" s="35"/>
      <c r="B60" s="34" t="s">
        <v>30</v>
      </c>
      <c r="C60" s="33">
        <v>60</v>
      </c>
      <c r="D60" s="11">
        <v>0.66</v>
      </c>
      <c r="E60" s="11">
        <v>0.12</v>
      </c>
      <c r="F60" s="11">
        <v>2.2799999999999998</v>
      </c>
      <c r="G60" s="11">
        <v>14.4</v>
      </c>
      <c r="H60" s="11">
        <v>3.5999999999999997E-2</v>
      </c>
      <c r="I60" s="11">
        <v>0.1</v>
      </c>
      <c r="J60" s="11">
        <v>11</v>
      </c>
      <c r="K60" s="11">
        <v>12.2</v>
      </c>
      <c r="L60" s="11">
        <v>15.6</v>
      </c>
    </row>
    <row r="61" spans="1:15" s="5" customFormat="1" ht="15.75" x14ac:dyDescent="0.25">
      <c r="A61" s="109" t="s">
        <v>47</v>
      </c>
      <c r="B61" s="77" t="s">
        <v>48</v>
      </c>
      <c r="C61" s="78">
        <v>235</v>
      </c>
      <c r="D61" s="44">
        <f>8.78*0.21</f>
        <v>1.8437999999999999</v>
      </c>
      <c r="E61" s="44">
        <f>11.12*0.25+4</f>
        <v>6.7799999999999994</v>
      </c>
      <c r="F61" s="44">
        <f>61.65*0.235</f>
        <v>14.487749999999998</v>
      </c>
      <c r="G61" s="44">
        <f>424*0.25</f>
        <v>106</v>
      </c>
      <c r="H61" s="44">
        <f>0.48*0.235</f>
        <v>0.11279999999999998</v>
      </c>
      <c r="I61" s="44">
        <f>0.29*0.3</f>
        <v>8.6999999999999994E-2</v>
      </c>
      <c r="J61" s="44">
        <f>44.3*0.1</f>
        <v>4.43</v>
      </c>
      <c r="K61" s="44">
        <f>118.8*0.235+40</f>
        <v>67.918000000000006</v>
      </c>
      <c r="L61" s="44">
        <f>289*0.4</f>
        <v>115.60000000000001</v>
      </c>
      <c r="M61" s="79"/>
      <c r="N61" s="79"/>
      <c r="O61" s="79"/>
    </row>
    <row r="62" spans="1:15" s="5" customFormat="1" ht="15.75" x14ac:dyDescent="0.25">
      <c r="A62" s="109" t="s">
        <v>49</v>
      </c>
      <c r="B62" s="77" t="s">
        <v>50</v>
      </c>
      <c r="C62" s="78">
        <v>90</v>
      </c>
      <c r="D62" s="44">
        <f>9.75+3</f>
        <v>12.75</v>
      </c>
      <c r="E62" s="44">
        <f>4.952+2+5</f>
        <v>11.952</v>
      </c>
      <c r="F62" s="44">
        <v>3.8</v>
      </c>
      <c r="G62" s="44">
        <f>105+50</f>
        <v>155</v>
      </c>
      <c r="H62" s="44">
        <v>0.05</v>
      </c>
      <c r="I62" s="44">
        <f>0.05+0.01</f>
        <v>6.0000000000000005E-2</v>
      </c>
      <c r="J62" s="44">
        <f>3.73-3</f>
        <v>0.73</v>
      </c>
      <c r="K62" s="44">
        <f>39.07+40</f>
        <v>79.069999999999993</v>
      </c>
      <c r="L62" s="44">
        <f>162.19+100</f>
        <v>262.19</v>
      </c>
      <c r="M62" s="79"/>
      <c r="N62" s="79"/>
      <c r="O62" s="79"/>
    </row>
    <row r="63" spans="1:15" s="79" customFormat="1" ht="15.75" x14ac:dyDescent="0.25">
      <c r="A63" s="110" t="s">
        <v>51</v>
      </c>
      <c r="B63" s="38" t="s">
        <v>52</v>
      </c>
      <c r="C63" s="39">
        <v>150</v>
      </c>
      <c r="D63" s="26">
        <f>2.17*1.5</f>
        <v>3.2549999999999999</v>
      </c>
      <c r="E63" s="26">
        <f>6.41*1.5-4</f>
        <v>5.6150000000000002</v>
      </c>
      <c r="F63" s="26">
        <f>12.59*1.5</f>
        <v>18.884999999999998</v>
      </c>
      <c r="G63" s="26">
        <f>121*1.5+50</f>
        <v>231.5</v>
      </c>
      <c r="H63" s="26">
        <v>0.1</v>
      </c>
      <c r="I63" s="26">
        <f>0.08*2+0.04</f>
        <v>0.2</v>
      </c>
      <c r="J63" s="26">
        <f>12.46-9.5</f>
        <v>2.9600000000000009</v>
      </c>
      <c r="K63" s="26">
        <f>29.16+40</f>
        <v>69.16</v>
      </c>
      <c r="L63" s="26">
        <f>60.92+20</f>
        <v>80.92</v>
      </c>
      <c r="M63" s="5"/>
      <c r="N63" s="5"/>
      <c r="O63" s="5"/>
    </row>
    <row r="64" spans="1:15" s="79" customFormat="1" ht="15.75" x14ac:dyDescent="0.25">
      <c r="A64" s="115" t="s">
        <v>36</v>
      </c>
      <c r="B64" s="34" t="s">
        <v>37</v>
      </c>
      <c r="C64" s="33">
        <v>200</v>
      </c>
      <c r="D64" s="11">
        <f>0.8*0.2</f>
        <v>0.16000000000000003</v>
      </c>
      <c r="E64" s="11">
        <f>0.8*0.2</f>
        <v>0.16000000000000003</v>
      </c>
      <c r="F64" s="11">
        <f>139*0.2</f>
        <v>27.8</v>
      </c>
      <c r="G64" s="11">
        <f>573*0.2</f>
        <v>114.60000000000001</v>
      </c>
      <c r="H64" s="11">
        <f>0.06*0.2</f>
        <v>1.2E-2</v>
      </c>
      <c r="I64" s="11">
        <f>0.04*0.2</f>
        <v>8.0000000000000002E-3</v>
      </c>
      <c r="J64" s="11">
        <f>4.5*0.2</f>
        <v>0.9</v>
      </c>
      <c r="K64" s="11">
        <v>91</v>
      </c>
      <c r="L64" s="11">
        <f>22*0.2</f>
        <v>4.4000000000000004</v>
      </c>
      <c r="M64" s="50"/>
      <c r="N64" s="50"/>
      <c r="O64" s="50"/>
    </row>
    <row r="65" spans="1:15" s="5" customFormat="1" ht="15.75" x14ac:dyDescent="0.25">
      <c r="A65" s="108"/>
      <c r="B65" s="36" t="s">
        <v>27</v>
      </c>
      <c r="C65" s="37">
        <v>40</v>
      </c>
      <c r="D65" s="19">
        <v>3.2</v>
      </c>
      <c r="E65" s="19">
        <v>0.79</v>
      </c>
      <c r="F65" s="19">
        <v>29.68</v>
      </c>
      <c r="G65" s="19">
        <v>104</v>
      </c>
      <c r="H65" s="19">
        <v>6.2000000000000006E-2</v>
      </c>
      <c r="I65" s="19"/>
      <c r="J65" s="19">
        <v>0.8</v>
      </c>
      <c r="K65" s="19">
        <v>18.044444444444444</v>
      </c>
      <c r="L65" s="19">
        <v>26</v>
      </c>
    </row>
    <row r="66" spans="1:15" s="50" customFormat="1" ht="15.75" x14ac:dyDescent="0.25">
      <c r="A66" s="107"/>
      <c r="B66" s="34" t="s">
        <v>38</v>
      </c>
      <c r="C66" s="33">
        <v>20</v>
      </c>
      <c r="D66" s="11">
        <v>1.32</v>
      </c>
      <c r="E66" s="11">
        <v>0.24</v>
      </c>
      <c r="F66" s="11">
        <v>7.9279999999999999</v>
      </c>
      <c r="G66" s="11">
        <v>39.6</v>
      </c>
      <c r="H66" s="11">
        <v>3.4000000000000002E-2</v>
      </c>
      <c r="I66" s="11"/>
      <c r="J66" s="11">
        <v>0</v>
      </c>
      <c r="K66" s="11">
        <v>5.8</v>
      </c>
      <c r="L66" s="11">
        <v>30</v>
      </c>
      <c r="M66" s="5"/>
      <c r="N66" s="5"/>
      <c r="O66" s="5"/>
    </row>
    <row r="67" spans="1:15" s="5" customFormat="1" ht="15.75" x14ac:dyDescent="0.25">
      <c r="A67" s="119"/>
      <c r="B67" s="45" t="s">
        <v>39</v>
      </c>
      <c r="C67" s="41">
        <f t="shared" ref="C67:L67" si="4">SUM(C60:C66)</f>
        <v>795</v>
      </c>
      <c r="D67" s="28">
        <f t="shared" si="4"/>
        <v>23.188800000000001</v>
      </c>
      <c r="E67" s="28">
        <f t="shared" si="4"/>
        <v>25.656999999999996</v>
      </c>
      <c r="F67" s="28">
        <f t="shared" si="4"/>
        <v>104.86075</v>
      </c>
      <c r="G67" s="28">
        <f t="shared" si="4"/>
        <v>765.1</v>
      </c>
      <c r="H67" s="28">
        <f t="shared" si="4"/>
        <v>0.40679999999999994</v>
      </c>
      <c r="I67" s="28">
        <f>SUM(I60:I66)</f>
        <v>0.45500000000000002</v>
      </c>
      <c r="J67" s="28">
        <f t="shared" si="4"/>
        <v>20.82</v>
      </c>
      <c r="K67" s="28">
        <f t="shared" si="4"/>
        <v>343.19244444444439</v>
      </c>
      <c r="L67" s="28">
        <f t="shared" si="4"/>
        <v>534.71</v>
      </c>
    </row>
    <row r="68" spans="1:15" s="5" customFormat="1" ht="17.25" customHeight="1" x14ac:dyDescent="0.25">
      <c r="A68" s="6"/>
      <c r="B68" s="40" t="s">
        <v>53</v>
      </c>
      <c r="C68" s="41">
        <f t="shared" ref="C68:L68" si="5">C67+C58</f>
        <v>1322</v>
      </c>
      <c r="D68" s="22">
        <f t="shared" si="5"/>
        <v>40.663800000000002</v>
      </c>
      <c r="E68" s="22">
        <f t="shared" si="5"/>
        <v>44.026999999999994</v>
      </c>
      <c r="F68" s="22">
        <f t="shared" si="5"/>
        <v>188.50075000000001</v>
      </c>
      <c r="G68" s="22">
        <f t="shared" si="5"/>
        <v>1343.15</v>
      </c>
      <c r="H68" s="22">
        <f t="shared" si="5"/>
        <v>0.67879999999999996</v>
      </c>
      <c r="I68" s="22">
        <f t="shared" si="5"/>
        <v>0.755</v>
      </c>
      <c r="J68" s="22">
        <f t="shared" si="5"/>
        <v>35.79</v>
      </c>
      <c r="K68" s="22">
        <f t="shared" si="5"/>
        <v>575.88688888888885</v>
      </c>
      <c r="L68" s="22">
        <f t="shared" si="5"/>
        <v>892.26</v>
      </c>
    </row>
    <row r="69" spans="1:15" s="5" customFormat="1" ht="15.75" x14ac:dyDescent="0.25">
      <c r="A69" s="179" t="s">
        <v>54</v>
      </c>
      <c r="B69" s="179"/>
      <c r="C69" s="179"/>
      <c r="D69" s="179"/>
      <c r="E69" s="179"/>
      <c r="F69" s="179"/>
      <c r="G69" s="179"/>
      <c r="H69" s="3"/>
      <c r="I69" s="3"/>
      <c r="J69" s="3"/>
      <c r="K69" s="3"/>
      <c r="L69" s="3"/>
    </row>
    <row r="70" spans="1:15" s="5" customFormat="1" ht="15.75" x14ac:dyDescent="0.25">
      <c r="A70" s="180" t="s">
        <v>16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</row>
    <row r="71" spans="1:15" s="5" customFormat="1" ht="15.75" x14ac:dyDescent="0.25">
      <c r="A71" s="120"/>
      <c r="B71" s="121" t="s">
        <v>30</v>
      </c>
      <c r="C71" s="42">
        <v>60</v>
      </c>
      <c r="D71" s="11">
        <v>0.66</v>
      </c>
      <c r="E71" s="11">
        <v>0.12</v>
      </c>
      <c r="F71" s="11">
        <v>2.2799999999999998</v>
      </c>
      <c r="G71" s="11">
        <v>14.4</v>
      </c>
      <c r="H71" s="11">
        <v>3.5999999999999997E-2</v>
      </c>
      <c r="I71" s="11">
        <v>0.1</v>
      </c>
      <c r="J71" s="11">
        <v>11</v>
      </c>
      <c r="K71" s="11">
        <v>12.2</v>
      </c>
      <c r="L71" s="11">
        <v>15.6</v>
      </c>
      <c r="M71" s="50"/>
      <c r="N71" s="50"/>
      <c r="O71" s="50"/>
    </row>
    <row r="72" spans="1:15" s="5" customFormat="1" ht="31.5" x14ac:dyDescent="0.25">
      <c r="A72" s="120" t="s">
        <v>32</v>
      </c>
      <c r="B72" s="116" t="s">
        <v>55</v>
      </c>
      <c r="C72" s="42">
        <v>90</v>
      </c>
      <c r="D72" s="26">
        <v>7.49</v>
      </c>
      <c r="E72" s="26">
        <f>9.19/80*100</f>
        <v>11.487499999999999</v>
      </c>
      <c r="F72" s="26">
        <f>8.24-3</f>
        <v>5.24</v>
      </c>
      <c r="G72" s="26">
        <f>147-20</f>
        <v>127</v>
      </c>
      <c r="H72" s="26">
        <v>0.03</v>
      </c>
      <c r="I72" s="26">
        <f>0.07+0.03</f>
        <v>0.1</v>
      </c>
      <c r="J72" s="26">
        <v>0.01</v>
      </c>
      <c r="K72" s="26">
        <f>13.4+7</f>
        <v>20.399999999999999</v>
      </c>
      <c r="L72" s="26">
        <f>90.19+20</f>
        <v>110.19</v>
      </c>
      <c r="M72" s="50"/>
      <c r="N72" s="50"/>
      <c r="O72" s="50"/>
    </row>
    <row r="73" spans="1:15" s="50" customFormat="1" ht="15.75" x14ac:dyDescent="0.2">
      <c r="A73" s="120" t="s">
        <v>34</v>
      </c>
      <c r="B73" s="121" t="s">
        <v>56</v>
      </c>
      <c r="C73" s="42">
        <v>150</v>
      </c>
      <c r="D73" s="43">
        <f>42.1*0.15</f>
        <v>6.3150000000000004</v>
      </c>
      <c r="E73" s="43">
        <f>30.03*0.15</f>
        <v>4.5045000000000002</v>
      </c>
      <c r="F73" s="43">
        <f>259.01*0.1-5</f>
        <v>20.901</v>
      </c>
      <c r="G73" s="43">
        <f>1475*0.15</f>
        <v>221.25</v>
      </c>
      <c r="H73" s="43">
        <f>0.82*0.15</f>
        <v>0.12299999999999998</v>
      </c>
      <c r="I73" s="43">
        <f>0.34*0.15+0.03</f>
        <v>8.1000000000000003E-2</v>
      </c>
      <c r="J73" s="43"/>
      <c r="K73" s="43">
        <f>160.03</f>
        <v>160.03</v>
      </c>
      <c r="L73" s="43">
        <f>1059.8*0.2</f>
        <v>211.96</v>
      </c>
    </row>
    <row r="74" spans="1:15" s="50" customFormat="1" ht="15.75" x14ac:dyDescent="0.2">
      <c r="A74" s="122"/>
      <c r="B74" s="34" t="s">
        <v>57</v>
      </c>
      <c r="C74" s="33">
        <v>15</v>
      </c>
      <c r="D74" s="11">
        <f>0.1*0.15</f>
        <v>1.4999999999999999E-2</v>
      </c>
      <c r="E74" s="11"/>
      <c r="F74" s="11">
        <f>79.4*0.1</f>
        <v>7.9400000000000013</v>
      </c>
      <c r="G74" s="11">
        <f>321*0.15</f>
        <v>48.15</v>
      </c>
      <c r="H74" s="11"/>
      <c r="I74" s="11">
        <v>0.01</v>
      </c>
      <c r="J74" s="11">
        <v>0.01</v>
      </c>
      <c r="K74" s="11">
        <f>4</f>
        <v>4</v>
      </c>
      <c r="L74" s="11">
        <f>1</f>
        <v>1</v>
      </c>
    </row>
    <row r="75" spans="1:15" s="50" customFormat="1" ht="15.75" x14ac:dyDescent="0.2">
      <c r="A75" s="108"/>
      <c r="B75" s="36" t="s">
        <v>27</v>
      </c>
      <c r="C75" s="37">
        <v>40</v>
      </c>
      <c r="D75" s="19">
        <v>3.2</v>
      </c>
      <c r="E75" s="19">
        <v>0.79</v>
      </c>
      <c r="F75" s="19">
        <v>29.68</v>
      </c>
      <c r="G75" s="19">
        <v>104</v>
      </c>
      <c r="H75" s="19">
        <v>6.2000000000000006E-2</v>
      </c>
      <c r="I75" s="19"/>
      <c r="J75" s="19">
        <v>0.8</v>
      </c>
      <c r="K75" s="19">
        <v>18.044444444444444</v>
      </c>
      <c r="L75" s="19">
        <v>26</v>
      </c>
    </row>
    <row r="76" spans="1:15" s="50" customFormat="1" ht="15.75" x14ac:dyDescent="0.2">
      <c r="A76" s="111" t="s">
        <v>25</v>
      </c>
      <c r="B76" s="36" t="s">
        <v>26</v>
      </c>
      <c r="C76" s="37">
        <v>222</v>
      </c>
      <c r="D76" s="19">
        <v>0.13</v>
      </c>
      <c r="E76" s="19">
        <v>0.02</v>
      </c>
      <c r="F76" s="19">
        <v>15.2</v>
      </c>
      <c r="G76" s="19">
        <v>62</v>
      </c>
      <c r="H76" s="19"/>
      <c r="I76" s="19"/>
      <c r="J76" s="19">
        <v>2.83</v>
      </c>
      <c r="K76" s="19">
        <v>14.2</v>
      </c>
      <c r="L76" s="19">
        <v>4.4000000000000004</v>
      </c>
    </row>
    <row r="77" spans="1:15" s="50" customFormat="1" ht="15.75" x14ac:dyDescent="0.25">
      <c r="A77" s="119"/>
      <c r="B77" s="45" t="s">
        <v>28</v>
      </c>
      <c r="C77" s="41">
        <f t="shared" ref="C77:L77" si="6">SUM(C71:C76)</f>
        <v>577</v>
      </c>
      <c r="D77" s="28">
        <f t="shared" si="6"/>
        <v>17.809999999999999</v>
      </c>
      <c r="E77" s="28">
        <f t="shared" si="6"/>
        <v>16.921999999999997</v>
      </c>
      <c r="F77" s="28">
        <f t="shared" si="6"/>
        <v>81.241</v>
      </c>
      <c r="G77" s="28">
        <f t="shared" si="6"/>
        <v>576.79999999999995</v>
      </c>
      <c r="H77" s="28">
        <f t="shared" si="6"/>
        <v>0.251</v>
      </c>
      <c r="I77" s="28">
        <f>SUM(I71:I76)</f>
        <v>0.29100000000000004</v>
      </c>
      <c r="J77" s="28">
        <f t="shared" si="6"/>
        <v>14.65</v>
      </c>
      <c r="K77" s="28">
        <f t="shared" si="6"/>
        <v>228.87444444444444</v>
      </c>
      <c r="L77" s="28">
        <f t="shared" si="6"/>
        <v>369.15</v>
      </c>
      <c r="M77" s="5"/>
      <c r="N77" s="5"/>
      <c r="O77" s="5"/>
    </row>
    <row r="78" spans="1:15" s="50" customFormat="1" ht="15.75" x14ac:dyDescent="0.25">
      <c r="A78" s="180" t="s">
        <v>29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5"/>
      <c r="N78" s="5"/>
      <c r="O78" s="5"/>
    </row>
    <row r="79" spans="1:15" s="5" customFormat="1" ht="15.75" x14ac:dyDescent="0.25">
      <c r="A79" s="120"/>
      <c r="B79" s="121" t="s">
        <v>30</v>
      </c>
      <c r="C79" s="42">
        <v>60</v>
      </c>
      <c r="D79" s="11">
        <v>0.66</v>
      </c>
      <c r="E79" s="11">
        <v>0.12</v>
      </c>
      <c r="F79" s="11">
        <v>2.2799999999999998</v>
      </c>
      <c r="G79" s="11">
        <v>14.4</v>
      </c>
      <c r="H79" s="11">
        <v>3.5999999999999997E-2</v>
      </c>
      <c r="I79" s="11">
        <v>0.1</v>
      </c>
      <c r="J79" s="11">
        <v>5</v>
      </c>
      <c r="K79" s="11">
        <v>12.2</v>
      </c>
      <c r="L79" s="11">
        <v>15.6</v>
      </c>
      <c r="M79" s="50"/>
      <c r="N79" s="50"/>
      <c r="O79" s="50"/>
    </row>
    <row r="80" spans="1:15" s="5" customFormat="1" ht="15.75" x14ac:dyDescent="0.25">
      <c r="A80" s="120" t="s">
        <v>58</v>
      </c>
      <c r="B80" s="121" t="s">
        <v>59</v>
      </c>
      <c r="C80" s="42">
        <v>200</v>
      </c>
      <c r="D80" s="44">
        <f>8.07*0.2</f>
        <v>1.6140000000000001</v>
      </c>
      <c r="E80" s="44">
        <f>20.36*0.4</f>
        <v>8.1440000000000001</v>
      </c>
      <c r="F80" s="44">
        <f>47.92*0.2</f>
        <v>9.5840000000000014</v>
      </c>
      <c r="G80" s="44">
        <f>429*0.4</f>
        <v>171.60000000000002</v>
      </c>
      <c r="H80" s="44">
        <f>0.37*0.2</f>
        <v>7.3999999999999996E-2</v>
      </c>
      <c r="I80" s="44">
        <f>0.23*0.4</f>
        <v>9.2000000000000012E-2</v>
      </c>
      <c r="J80" s="44">
        <f>33.5*0.1</f>
        <v>3.35</v>
      </c>
      <c r="K80" s="44">
        <f>116.6</f>
        <v>116.6</v>
      </c>
      <c r="L80" s="44">
        <f>226.9</f>
        <v>226.9</v>
      </c>
      <c r="M80" s="50"/>
      <c r="N80" s="50"/>
      <c r="O80" s="50"/>
    </row>
    <row r="81" spans="1:12" s="50" customFormat="1" ht="15.75" x14ac:dyDescent="0.2">
      <c r="A81" s="120" t="s">
        <v>60</v>
      </c>
      <c r="B81" s="121" t="s">
        <v>61</v>
      </c>
      <c r="C81" s="42">
        <v>150</v>
      </c>
      <c r="D81" s="44">
        <f>13.51+5</f>
        <v>18.509999999999998</v>
      </c>
      <c r="E81" s="44">
        <f>6.71+10</f>
        <v>16.71</v>
      </c>
      <c r="F81" s="44">
        <v>27.34</v>
      </c>
      <c r="G81" s="44">
        <f>224+50</f>
        <v>274</v>
      </c>
      <c r="H81" s="44">
        <f>0.11+0.03</f>
        <v>0.14000000000000001</v>
      </c>
      <c r="I81" s="44">
        <f>0.11+0.08</f>
        <v>0.19</v>
      </c>
      <c r="J81" s="44">
        <f>4.9-2</f>
        <v>2.9000000000000004</v>
      </c>
      <c r="K81" s="44">
        <f>27.07+40</f>
        <v>67.069999999999993</v>
      </c>
      <c r="L81" s="44">
        <f>142+40</f>
        <v>182</v>
      </c>
    </row>
    <row r="82" spans="1:12" s="50" customFormat="1" ht="15.75" x14ac:dyDescent="0.2">
      <c r="A82" s="115" t="s">
        <v>36</v>
      </c>
      <c r="B82" s="34" t="s">
        <v>37</v>
      </c>
      <c r="C82" s="33">
        <v>200</v>
      </c>
      <c r="D82" s="11">
        <f>0.8*0.2</f>
        <v>0.16000000000000003</v>
      </c>
      <c r="E82" s="11">
        <f>0.8*0.2</f>
        <v>0.16000000000000003</v>
      </c>
      <c r="F82" s="11">
        <f>139*0.2</f>
        <v>27.8</v>
      </c>
      <c r="G82" s="11">
        <f>573*0.2</f>
        <v>114.60000000000001</v>
      </c>
      <c r="H82" s="11">
        <f>0.06*0.2</f>
        <v>1.2E-2</v>
      </c>
      <c r="I82" s="11">
        <f>0.04*0.2</f>
        <v>8.0000000000000002E-3</v>
      </c>
      <c r="J82" s="11">
        <f>4.5*0.2</f>
        <v>0.9</v>
      </c>
      <c r="K82" s="11">
        <v>91</v>
      </c>
      <c r="L82" s="11">
        <f>22*0.2</f>
        <v>4.4000000000000004</v>
      </c>
    </row>
    <row r="83" spans="1:12" s="50" customFormat="1" ht="15.75" x14ac:dyDescent="0.2">
      <c r="A83" s="107" t="s">
        <v>23</v>
      </c>
      <c r="B83" s="34" t="s">
        <v>24</v>
      </c>
      <c r="C83" s="33">
        <v>100</v>
      </c>
      <c r="D83" s="11">
        <v>0.4</v>
      </c>
      <c r="E83" s="11">
        <v>0.2</v>
      </c>
      <c r="F83" s="11">
        <v>9.8000000000000007</v>
      </c>
      <c r="G83" s="11">
        <v>47</v>
      </c>
      <c r="H83" s="11">
        <v>0.04</v>
      </c>
      <c r="I83" s="11">
        <v>0.05</v>
      </c>
      <c r="J83" s="11">
        <f>10-3</f>
        <v>7</v>
      </c>
      <c r="K83" s="11">
        <f>16+10</f>
        <v>26</v>
      </c>
      <c r="L83" s="11">
        <v>11</v>
      </c>
    </row>
    <row r="84" spans="1:12" s="50" customFormat="1" ht="15.75" x14ac:dyDescent="0.2">
      <c r="A84" s="108"/>
      <c r="B84" s="36" t="s">
        <v>27</v>
      </c>
      <c r="C84" s="37">
        <v>40</v>
      </c>
      <c r="D84" s="19">
        <v>3.2</v>
      </c>
      <c r="E84" s="19">
        <v>0.79</v>
      </c>
      <c r="F84" s="19">
        <v>29.68</v>
      </c>
      <c r="G84" s="19">
        <v>104</v>
      </c>
      <c r="H84" s="19">
        <v>6.2000000000000006E-2</v>
      </c>
      <c r="I84" s="19"/>
      <c r="J84" s="19">
        <v>0.8</v>
      </c>
      <c r="K84" s="19">
        <v>18.044444444444444</v>
      </c>
      <c r="L84" s="19">
        <v>26</v>
      </c>
    </row>
    <row r="85" spans="1:12" s="50" customFormat="1" ht="15.75" x14ac:dyDescent="0.2">
      <c r="A85" s="107"/>
      <c r="B85" s="34" t="s">
        <v>38</v>
      </c>
      <c r="C85" s="33">
        <v>20</v>
      </c>
      <c r="D85" s="11">
        <v>1.32</v>
      </c>
      <c r="E85" s="11">
        <v>0.24</v>
      </c>
      <c r="F85" s="11">
        <v>7.9279999999999999</v>
      </c>
      <c r="G85" s="11">
        <v>39.6</v>
      </c>
      <c r="H85" s="11">
        <v>3.4000000000000002E-2</v>
      </c>
      <c r="I85" s="11"/>
      <c r="J85" s="11">
        <v>0</v>
      </c>
      <c r="K85" s="11">
        <v>5.8</v>
      </c>
      <c r="L85" s="11">
        <v>30</v>
      </c>
    </row>
    <row r="86" spans="1:12" s="50" customFormat="1" ht="15.75" x14ac:dyDescent="0.2">
      <c r="A86" s="119"/>
      <c r="B86" s="45" t="s">
        <v>39</v>
      </c>
      <c r="C86" s="41">
        <f>SUM(C79:C85)</f>
        <v>770</v>
      </c>
      <c r="D86" s="28">
        <f t="shared" ref="D86:L86" si="7">SUM(D79:D85)</f>
        <v>25.863999999999997</v>
      </c>
      <c r="E86" s="28">
        <f t="shared" si="7"/>
        <v>26.363999999999997</v>
      </c>
      <c r="F86" s="28">
        <f t="shared" si="7"/>
        <v>114.41200000000001</v>
      </c>
      <c r="G86" s="28">
        <f t="shared" si="7"/>
        <v>765.2</v>
      </c>
      <c r="H86" s="28">
        <f t="shared" si="7"/>
        <v>0.39800000000000002</v>
      </c>
      <c r="I86" s="28">
        <f>SUM(I79:I85)</f>
        <v>0.44</v>
      </c>
      <c r="J86" s="28">
        <f>SUM(J79:J85)</f>
        <v>19.95</v>
      </c>
      <c r="K86" s="28">
        <f t="shared" si="7"/>
        <v>336.71444444444444</v>
      </c>
      <c r="L86" s="28">
        <f t="shared" si="7"/>
        <v>495.9</v>
      </c>
    </row>
    <row r="87" spans="1:12" s="50" customFormat="1" ht="16.5" customHeight="1" x14ac:dyDescent="0.2">
      <c r="A87" s="45"/>
      <c r="B87" s="40" t="s">
        <v>62</v>
      </c>
      <c r="C87" s="41">
        <f t="shared" ref="C87:L87" si="8">C86+C77</f>
        <v>1347</v>
      </c>
      <c r="D87" s="22">
        <f t="shared" si="8"/>
        <v>43.673999999999992</v>
      </c>
      <c r="E87" s="22">
        <f t="shared" si="8"/>
        <v>43.285999999999994</v>
      </c>
      <c r="F87" s="22">
        <f t="shared" si="8"/>
        <v>195.65300000000002</v>
      </c>
      <c r="G87" s="22">
        <f t="shared" si="8"/>
        <v>1342</v>
      </c>
      <c r="H87" s="22">
        <f t="shared" si="8"/>
        <v>0.64900000000000002</v>
      </c>
      <c r="I87" s="22">
        <f t="shared" si="8"/>
        <v>0.73100000000000009</v>
      </c>
      <c r="J87" s="22">
        <f t="shared" si="8"/>
        <v>34.6</v>
      </c>
      <c r="K87" s="22">
        <f t="shared" si="8"/>
        <v>565.58888888888885</v>
      </c>
      <c r="L87" s="22">
        <f t="shared" si="8"/>
        <v>865.05</v>
      </c>
    </row>
    <row r="88" spans="1:12" s="50" customFormat="1" ht="15.75" x14ac:dyDescent="0.2">
      <c r="A88" s="179" t="s">
        <v>63</v>
      </c>
      <c r="B88" s="179"/>
      <c r="C88" s="179"/>
      <c r="D88" s="179"/>
      <c r="E88" s="179"/>
      <c r="F88" s="179"/>
      <c r="G88" s="179"/>
      <c r="H88" s="123"/>
      <c r="I88" s="123"/>
      <c r="J88" s="123"/>
      <c r="K88" s="123"/>
      <c r="L88" s="123"/>
    </row>
    <row r="89" spans="1:12" s="50" customFormat="1" ht="15.75" x14ac:dyDescent="0.2">
      <c r="A89" s="180" t="s">
        <v>16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</row>
    <row r="90" spans="1:12" s="50" customFormat="1" ht="14.1" customHeight="1" x14ac:dyDescent="0.2">
      <c r="A90" s="120" t="s">
        <v>64</v>
      </c>
      <c r="B90" s="116" t="s">
        <v>65</v>
      </c>
      <c r="C90" s="42">
        <v>200</v>
      </c>
      <c r="D90" s="26">
        <f>5.95/80*150</f>
        <v>11.15625</v>
      </c>
      <c r="E90" s="26">
        <f>5.25/80*200</f>
        <v>13.125</v>
      </c>
      <c r="F90" s="26">
        <f>32.01/80*80-5</f>
        <v>27.009999999999998</v>
      </c>
      <c r="G90" s="26">
        <f>199/80*120</f>
        <v>298.5</v>
      </c>
      <c r="H90" s="26">
        <f>0.036/80*200+0.06</f>
        <v>0.15</v>
      </c>
      <c r="I90" s="26">
        <v>0.18</v>
      </c>
      <c r="J90" s="26">
        <f>8.52-2</f>
        <v>6.52</v>
      </c>
      <c r="K90" s="26">
        <f>63.12/80*150</f>
        <v>118.35</v>
      </c>
      <c r="L90" s="26">
        <f>82.63/80*200+20</f>
        <v>226.57499999999999</v>
      </c>
    </row>
    <row r="91" spans="1:12" s="50" customFormat="1" ht="15.75" x14ac:dyDescent="0.2">
      <c r="A91" s="124" t="s">
        <v>19</v>
      </c>
      <c r="B91" s="46" t="s">
        <v>20</v>
      </c>
      <c r="C91" s="47">
        <v>15</v>
      </c>
      <c r="D91" s="15">
        <v>4</v>
      </c>
      <c r="E91" s="15">
        <v>3.9</v>
      </c>
      <c r="F91" s="15">
        <v>0</v>
      </c>
      <c r="G91" s="15">
        <v>54</v>
      </c>
      <c r="H91" s="15">
        <v>5.0000000000000001E-3</v>
      </c>
      <c r="I91" s="15">
        <v>0.09</v>
      </c>
      <c r="J91" s="15">
        <v>0.1</v>
      </c>
      <c r="K91" s="15">
        <f>132-50</f>
        <v>82</v>
      </c>
      <c r="L91" s="15">
        <v>75</v>
      </c>
    </row>
    <row r="92" spans="1:12" s="50" customFormat="1" ht="15.75" x14ac:dyDescent="0.2">
      <c r="A92" s="112" t="s">
        <v>45</v>
      </c>
      <c r="B92" s="36" t="s">
        <v>46</v>
      </c>
      <c r="C92" s="37">
        <v>215</v>
      </c>
      <c r="D92" s="48">
        <v>7.0000000000000007E-2</v>
      </c>
      <c r="E92" s="48">
        <v>0.02</v>
      </c>
      <c r="F92" s="48">
        <v>15</v>
      </c>
      <c r="G92" s="48">
        <v>60</v>
      </c>
      <c r="H92" s="48"/>
      <c r="I92" s="48"/>
      <c r="J92" s="48">
        <v>0.03</v>
      </c>
      <c r="K92" s="48">
        <v>11.1</v>
      </c>
      <c r="L92" s="48">
        <v>2.8</v>
      </c>
    </row>
    <row r="93" spans="1:12" s="50" customFormat="1" ht="15.75" x14ac:dyDescent="0.2">
      <c r="A93" s="107" t="s">
        <v>23</v>
      </c>
      <c r="B93" s="34" t="s">
        <v>24</v>
      </c>
      <c r="C93" s="33">
        <v>100</v>
      </c>
      <c r="D93" s="11">
        <v>0.4</v>
      </c>
      <c r="E93" s="11">
        <v>0.2</v>
      </c>
      <c r="F93" s="11">
        <v>9.8000000000000007</v>
      </c>
      <c r="G93" s="11">
        <v>47</v>
      </c>
      <c r="H93" s="11">
        <v>0.04</v>
      </c>
      <c r="I93" s="11">
        <v>0.05</v>
      </c>
      <c r="J93" s="11">
        <f>10-3</f>
        <v>7</v>
      </c>
      <c r="K93" s="11">
        <f>16+10</f>
        <v>26</v>
      </c>
      <c r="L93" s="11">
        <v>11</v>
      </c>
    </row>
    <row r="94" spans="1:12" s="50" customFormat="1" ht="15.75" x14ac:dyDescent="0.2">
      <c r="A94" s="108"/>
      <c r="B94" s="36" t="s">
        <v>27</v>
      </c>
      <c r="C94" s="37">
        <v>40</v>
      </c>
      <c r="D94" s="19">
        <v>3.2</v>
      </c>
      <c r="E94" s="19">
        <v>0.79</v>
      </c>
      <c r="F94" s="19">
        <v>29.68</v>
      </c>
      <c r="G94" s="19">
        <v>104</v>
      </c>
      <c r="H94" s="19">
        <v>6.2000000000000006E-2</v>
      </c>
      <c r="I94" s="19"/>
      <c r="J94" s="19">
        <v>0.8</v>
      </c>
      <c r="K94" s="19">
        <v>18.044444444444444</v>
      </c>
      <c r="L94" s="19">
        <v>26</v>
      </c>
    </row>
    <row r="95" spans="1:12" s="50" customFormat="1" ht="15.75" x14ac:dyDescent="0.2">
      <c r="A95" s="119"/>
      <c r="B95" s="45" t="s">
        <v>28</v>
      </c>
      <c r="C95" s="41">
        <f t="shared" ref="C95:L95" si="9">SUM(C90:C94)</f>
        <v>570</v>
      </c>
      <c r="D95" s="28">
        <f t="shared" si="9"/>
        <v>18.826250000000002</v>
      </c>
      <c r="E95" s="28">
        <f t="shared" si="9"/>
        <v>18.034999999999997</v>
      </c>
      <c r="F95" s="28">
        <f t="shared" si="9"/>
        <v>81.490000000000009</v>
      </c>
      <c r="G95" s="28">
        <f t="shared" si="9"/>
        <v>563.5</v>
      </c>
      <c r="H95" s="28">
        <f>SUM(H90:H94)</f>
        <v>0.25700000000000001</v>
      </c>
      <c r="I95" s="28">
        <f>SUM(I90:I94)</f>
        <v>0.32</v>
      </c>
      <c r="J95" s="28">
        <f t="shared" si="9"/>
        <v>14.45</v>
      </c>
      <c r="K95" s="28">
        <f t="shared" si="9"/>
        <v>255.49444444444444</v>
      </c>
      <c r="L95" s="28">
        <f t="shared" si="9"/>
        <v>341.375</v>
      </c>
    </row>
    <row r="96" spans="1:12" s="50" customFormat="1" ht="15.75" x14ac:dyDescent="0.2">
      <c r="A96" s="180" t="s">
        <v>29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</row>
    <row r="97" spans="1:15" s="50" customFormat="1" ht="15.75" x14ac:dyDescent="0.2">
      <c r="A97" s="125"/>
      <c r="B97" s="116" t="s">
        <v>30</v>
      </c>
      <c r="C97" s="80">
        <v>60</v>
      </c>
      <c r="D97" s="11">
        <v>0.66</v>
      </c>
      <c r="E97" s="11">
        <v>0.12</v>
      </c>
      <c r="F97" s="11">
        <v>2.2799999999999998</v>
      </c>
      <c r="G97" s="11">
        <v>14.4</v>
      </c>
      <c r="H97" s="11">
        <v>3.5999999999999997E-2</v>
      </c>
      <c r="I97" s="11">
        <v>0.1</v>
      </c>
      <c r="J97" s="11">
        <v>5</v>
      </c>
      <c r="K97" s="11">
        <v>12.2</v>
      </c>
      <c r="L97" s="11">
        <v>15.6</v>
      </c>
      <c r="M97" s="81"/>
      <c r="N97" s="81"/>
      <c r="O97" s="81"/>
    </row>
    <row r="98" spans="1:15" s="50" customFormat="1" ht="31.5" x14ac:dyDescent="0.2">
      <c r="A98" s="125" t="s">
        <v>66</v>
      </c>
      <c r="B98" s="116" t="s">
        <v>67</v>
      </c>
      <c r="C98" s="80">
        <v>200</v>
      </c>
      <c r="D98" s="26">
        <f>7.06*0.2</f>
        <v>1.4119999999999999</v>
      </c>
      <c r="E98" s="26">
        <f>19.8*0.2+5</f>
        <v>8.9600000000000009</v>
      </c>
      <c r="F98" s="26">
        <f>31.61*0.2</f>
        <v>6.3220000000000001</v>
      </c>
      <c r="G98" s="26">
        <f>359*0.2</f>
        <v>71.8</v>
      </c>
      <c r="H98" s="26">
        <f>0.23*0.2-0.04</f>
        <v>6.0000000000000053E-3</v>
      </c>
      <c r="I98" s="26">
        <f>0.19*0.2</f>
        <v>3.8000000000000006E-2</v>
      </c>
      <c r="J98" s="26">
        <f>63.1*0.2-6</f>
        <v>6.620000000000001</v>
      </c>
      <c r="K98" s="26">
        <f>197*0.6</f>
        <v>118.19999999999999</v>
      </c>
      <c r="L98" s="26">
        <f>196*0.6</f>
        <v>117.6</v>
      </c>
      <c r="M98" s="81"/>
      <c r="N98" s="81"/>
      <c r="O98" s="81"/>
    </row>
    <row r="99" spans="1:15" s="81" customFormat="1" ht="15.75" x14ac:dyDescent="0.25">
      <c r="A99" s="115" t="s">
        <v>68</v>
      </c>
      <c r="B99" s="116" t="s">
        <v>69</v>
      </c>
      <c r="C99" s="80">
        <v>90</v>
      </c>
      <c r="D99" s="11">
        <v>13.26</v>
      </c>
      <c r="E99" s="11">
        <v>11.23</v>
      </c>
      <c r="F99" s="11">
        <v>3.52</v>
      </c>
      <c r="G99" s="11">
        <v>185</v>
      </c>
      <c r="H99" s="11">
        <f>0.2-0.01</f>
        <v>0.19</v>
      </c>
      <c r="I99" s="11">
        <v>0.1</v>
      </c>
      <c r="J99" s="11"/>
      <c r="K99" s="11">
        <f>33.24+20</f>
        <v>53.24</v>
      </c>
      <c r="L99" s="11">
        <f>239.32+50</f>
        <v>289.32</v>
      </c>
      <c r="M99" s="82"/>
      <c r="N99" s="82"/>
      <c r="O99" s="82"/>
    </row>
    <row r="100" spans="1:15" s="81" customFormat="1" ht="15.75" x14ac:dyDescent="0.25">
      <c r="A100" s="115" t="s">
        <v>70</v>
      </c>
      <c r="B100" s="116" t="s">
        <v>71</v>
      </c>
      <c r="C100" s="80">
        <v>150</v>
      </c>
      <c r="D100" s="11">
        <f>36.78*0.15</f>
        <v>5.5170000000000003</v>
      </c>
      <c r="E100" s="11">
        <f>30.1*0.15</f>
        <v>4.5149999999999997</v>
      </c>
      <c r="F100" s="11">
        <f>176.3*0.15</f>
        <v>26.445</v>
      </c>
      <c r="G100" s="11">
        <f>1123*0.15</f>
        <v>168.45</v>
      </c>
      <c r="H100" s="11">
        <f>0.17*0.15</f>
        <v>2.5500000000000002E-2</v>
      </c>
      <c r="I100" s="11">
        <f>1.18*0.15</f>
        <v>0.17699999999999999</v>
      </c>
      <c r="J100" s="11"/>
      <c r="K100" s="11">
        <f>32.4*0.8</f>
        <v>25.92</v>
      </c>
      <c r="L100" s="11">
        <f>247.8*0.15+10</f>
        <v>47.17</v>
      </c>
      <c r="M100" s="82"/>
      <c r="N100" s="82"/>
      <c r="O100" s="82"/>
    </row>
    <row r="101" spans="1:15" s="82" customFormat="1" ht="15.75" x14ac:dyDescent="0.25">
      <c r="A101" s="115" t="s">
        <v>36</v>
      </c>
      <c r="B101" s="34" t="s">
        <v>37</v>
      </c>
      <c r="C101" s="33">
        <v>200</v>
      </c>
      <c r="D101" s="11">
        <f>0.8*0.2</f>
        <v>0.16000000000000003</v>
      </c>
      <c r="E101" s="11">
        <f>0.8*0.2</f>
        <v>0.16000000000000003</v>
      </c>
      <c r="F101" s="11">
        <f>139*0.2</f>
        <v>27.8</v>
      </c>
      <c r="G101" s="11">
        <f>573*0.2</f>
        <v>114.60000000000001</v>
      </c>
      <c r="H101" s="11">
        <f>0.06*0.2</f>
        <v>1.2E-2</v>
      </c>
      <c r="I101" s="11">
        <f>0.04*0.2</f>
        <v>8.0000000000000002E-3</v>
      </c>
      <c r="J101" s="11">
        <f>4.5*0.2</f>
        <v>0.9</v>
      </c>
      <c r="K101" s="11">
        <v>91</v>
      </c>
      <c r="L101" s="11">
        <f>22*0.2</f>
        <v>4.4000000000000004</v>
      </c>
    </row>
    <row r="102" spans="1:15" s="82" customFormat="1" ht="15.75" x14ac:dyDescent="0.25">
      <c r="A102" s="107" t="s">
        <v>23</v>
      </c>
      <c r="B102" s="34" t="s">
        <v>24</v>
      </c>
      <c r="C102" s="33">
        <v>100</v>
      </c>
      <c r="D102" s="11">
        <v>0.4</v>
      </c>
      <c r="E102" s="11">
        <v>0.2</v>
      </c>
      <c r="F102" s="11">
        <v>9.8000000000000007</v>
      </c>
      <c r="G102" s="11">
        <v>47</v>
      </c>
      <c r="H102" s="11">
        <v>0.04</v>
      </c>
      <c r="I102" s="11">
        <v>0.05</v>
      </c>
      <c r="J102" s="11">
        <f>10-3</f>
        <v>7</v>
      </c>
      <c r="K102" s="11">
        <f>16+10</f>
        <v>26</v>
      </c>
      <c r="L102" s="11">
        <v>11</v>
      </c>
    </row>
    <row r="103" spans="1:15" s="82" customFormat="1" ht="15.75" x14ac:dyDescent="0.25">
      <c r="A103" s="115"/>
      <c r="B103" s="116" t="s">
        <v>38</v>
      </c>
      <c r="C103" s="80">
        <v>20</v>
      </c>
      <c r="D103" s="19">
        <v>3.2</v>
      </c>
      <c r="E103" s="19">
        <v>0.79</v>
      </c>
      <c r="F103" s="19">
        <v>29.68</v>
      </c>
      <c r="G103" s="19">
        <v>104</v>
      </c>
      <c r="H103" s="19">
        <v>6.2000000000000006E-2</v>
      </c>
      <c r="I103" s="19"/>
      <c r="J103" s="19">
        <v>0.8</v>
      </c>
      <c r="K103" s="19">
        <v>18.044444444444444</v>
      </c>
      <c r="L103" s="19">
        <v>26</v>
      </c>
    </row>
    <row r="104" spans="1:15" s="82" customFormat="1" ht="15.75" x14ac:dyDescent="0.25">
      <c r="A104" s="115"/>
      <c r="B104" s="116" t="s">
        <v>27</v>
      </c>
      <c r="C104" s="80">
        <v>40</v>
      </c>
      <c r="D104" s="11">
        <v>1.32</v>
      </c>
      <c r="E104" s="11">
        <v>0.24</v>
      </c>
      <c r="F104" s="11">
        <v>7.9279999999999999</v>
      </c>
      <c r="G104" s="11">
        <v>39.6</v>
      </c>
      <c r="H104" s="11">
        <v>3.4000000000000002E-2</v>
      </c>
      <c r="I104" s="11"/>
      <c r="J104" s="11">
        <v>0</v>
      </c>
      <c r="K104" s="11">
        <v>5.8</v>
      </c>
      <c r="L104" s="11">
        <v>30</v>
      </c>
    </row>
    <row r="105" spans="1:15" s="82" customFormat="1" ht="15.75" x14ac:dyDescent="0.25">
      <c r="A105" s="126"/>
      <c r="B105" s="83" t="s">
        <v>39</v>
      </c>
      <c r="C105" s="85">
        <f t="shared" ref="C105:L105" si="10">SUM(C97:C104)</f>
        <v>860</v>
      </c>
      <c r="D105" s="28">
        <f t="shared" si="10"/>
        <v>25.928999999999998</v>
      </c>
      <c r="E105" s="28">
        <f t="shared" si="10"/>
        <v>26.215</v>
      </c>
      <c r="F105" s="28">
        <f t="shared" si="10"/>
        <v>113.77500000000001</v>
      </c>
      <c r="G105" s="28">
        <f t="shared" si="10"/>
        <v>744.85</v>
      </c>
      <c r="H105" s="28">
        <f t="shared" si="10"/>
        <v>0.40549999999999997</v>
      </c>
      <c r="I105" s="28">
        <f>SUM(I97:I104)</f>
        <v>0.47300000000000003</v>
      </c>
      <c r="J105" s="28">
        <f t="shared" si="10"/>
        <v>20.320000000000004</v>
      </c>
      <c r="K105" s="28">
        <f t="shared" si="10"/>
        <v>350.40444444444444</v>
      </c>
      <c r="L105" s="28">
        <f t="shared" si="10"/>
        <v>541.08999999999992</v>
      </c>
    </row>
    <row r="106" spans="1:15" s="82" customFormat="1" ht="20.25" customHeight="1" x14ac:dyDescent="0.25">
      <c r="A106" s="83"/>
      <c r="B106" s="84" t="s">
        <v>72</v>
      </c>
      <c r="C106" s="85">
        <f t="shared" ref="C106:L106" si="11">C105+C95</f>
        <v>1430</v>
      </c>
      <c r="D106" s="22">
        <f t="shared" si="11"/>
        <v>44.755250000000004</v>
      </c>
      <c r="E106" s="22">
        <f t="shared" si="11"/>
        <v>44.25</v>
      </c>
      <c r="F106" s="22">
        <f t="shared" si="11"/>
        <v>195.26500000000001</v>
      </c>
      <c r="G106" s="22">
        <f t="shared" si="11"/>
        <v>1308.3499999999999</v>
      </c>
      <c r="H106" s="22">
        <f t="shared" si="11"/>
        <v>0.66249999999999998</v>
      </c>
      <c r="I106" s="22">
        <f t="shared" si="11"/>
        <v>0.79300000000000004</v>
      </c>
      <c r="J106" s="22">
        <f t="shared" si="11"/>
        <v>34.770000000000003</v>
      </c>
      <c r="K106" s="22">
        <f t="shared" si="11"/>
        <v>605.89888888888891</v>
      </c>
      <c r="L106" s="22">
        <f t="shared" si="11"/>
        <v>882.46499999999992</v>
      </c>
    </row>
    <row r="107" spans="1:15" s="82" customFormat="1" ht="15.75" x14ac:dyDescent="0.25">
      <c r="A107" s="179" t="s">
        <v>73</v>
      </c>
      <c r="B107" s="179"/>
      <c r="C107" s="179"/>
      <c r="D107" s="179"/>
      <c r="E107" s="179"/>
      <c r="F107" s="179"/>
      <c r="G107" s="179"/>
      <c r="H107" s="127"/>
      <c r="I107" s="127"/>
      <c r="J107" s="127"/>
      <c r="K107" s="127"/>
      <c r="L107" s="127"/>
    </row>
    <row r="108" spans="1:15" s="82" customFormat="1" ht="15.75" x14ac:dyDescent="0.25">
      <c r="A108" s="180" t="s">
        <v>16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</row>
    <row r="109" spans="1:15" s="82" customFormat="1" ht="15.75" x14ac:dyDescent="0.25">
      <c r="A109" s="115"/>
      <c r="B109" s="116" t="s">
        <v>30</v>
      </c>
      <c r="C109" s="80">
        <v>60</v>
      </c>
      <c r="D109" s="11">
        <v>0.66</v>
      </c>
      <c r="E109" s="11">
        <v>0.12</v>
      </c>
      <c r="F109" s="11">
        <v>2.2799999999999998</v>
      </c>
      <c r="G109" s="11">
        <v>14.4</v>
      </c>
      <c r="H109" s="11">
        <v>3.5999999999999997E-2</v>
      </c>
      <c r="I109" s="11">
        <v>0.1</v>
      </c>
      <c r="J109" s="11">
        <v>11</v>
      </c>
      <c r="K109" s="11">
        <v>12.2</v>
      </c>
      <c r="L109" s="11">
        <v>15.6</v>
      </c>
    </row>
    <row r="110" spans="1:15" s="82" customFormat="1" ht="15.75" x14ac:dyDescent="0.25">
      <c r="A110" s="115" t="s">
        <v>74</v>
      </c>
      <c r="B110" s="116" t="s">
        <v>75</v>
      </c>
      <c r="C110" s="80">
        <v>90</v>
      </c>
      <c r="D110" s="26">
        <f>10.64-2.3</f>
        <v>8.34</v>
      </c>
      <c r="E110" s="26">
        <f>28.19-16</f>
        <v>12.190000000000001</v>
      </c>
      <c r="F110" s="26">
        <v>2.89</v>
      </c>
      <c r="G110" s="26">
        <f>221-50</f>
        <v>171</v>
      </c>
      <c r="H110" s="26">
        <v>0.03</v>
      </c>
      <c r="I110" s="26"/>
      <c r="J110" s="26">
        <v>0.83</v>
      </c>
      <c r="K110" s="26">
        <f>20+70</f>
        <v>90</v>
      </c>
      <c r="L110" s="26">
        <f>128.62+40</f>
        <v>168.62</v>
      </c>
    </row>
    <row r="111" spans="1:15" s="82" customFormat="1" ht="15.75" x14ac:dyDescent="0.25">
      <c r="A111" s="110" t="s">
        <v>51</v>
      </c>
      <c r="B111" s="38" t="s">
        <v>52</v>
      </c>
      <c r="C111" s="39">
        <v>150</v>
      </c>
      <c r="D111" s="26">
        <f>2.17*1.5</f>
        <v>3.2549999999999999</v>
      </c>
      <c r="E111" s="26">
        <f>6.41*1.5-4</f>
        <v>5.6150000000000002</v>
      </c>
      <c r="F111" s="26">
        <f>12.59*1.5</f>
        <v>18.884999999999998</v>
      </c>
      <c r="G111" s="26">
        <f>121*1.5+50</f>
        <v>231.5</v>
      </c>
      <c r="H111" s="26">
        <v>0.1</v>
      </c>
      <c r="I111" s="26">
        <f>0.08*2+0.04</f>
        <v>0.2</v>
      </c>
      <c r="J111" s="26">
        <f>12.46-9.5</f>
        <v>2.9600000000000009</v>
      </c>
      <c r="K111" s="26">
        <f>29.16+40</f>
        <v>69.16</v>
      </c>
      <c r="L111" s="26">
        <f>60.92+20</f>
        <v>80.92</v>
      </c>
    </row>
    <row r="112" spans="1:15" s="82" customFormat="1" ht="15.75" x14ac:dyDescent="0.25">
      <c r="A112" s="112" t="s">
        <v>45</v>
      </c>
      <c r="B112" s="36" t="s">
        <v>46</v>
      </c>
      <c r="C112" s="37">
        <v>215</v>
      </c>
      <c r="D112" s="48">
        <v>7.0000000000000007E-2</v>
      </c>
      <c r="E112" s="48">
        <v>0.02</v>
      </c>
      <c r="F112" s="48">
        <v>15</v>
      </c>
      <c r="G112" s="48">
        <v>60</v>
      </c>
      <c r="H112" s="48"/>
      <c r="I112" s="48"/>
      <c r="J112" s="48">
        <v>0.03</v>
      </c>
      <c r="K112" s="48">
        <v>11.1</v>
      </c>
      <c r="L112" s="48">
        <v>2.8</v>
      </c>
    </row>
    <row r="113" spans="1:15" s="82" customFormat="1" ht="15.75" x14ac:dyDescent="0.25">
      <c r="A113" s="115" t="s">
        <v>76</v>
      </c>
      <c r="B113" s="116" t="s">
        <v>77</v>
      </c>
      <c r="C113" s="80">
        <v>50</v>
      </c>
      <c r="D113" s="11">
        <v>4.6399999999999997</v>
      </c>
      <c r="E113" s="11">
        <v>0.99</v>
      </c>
      <c r="F113" s="11">
        <v>23.45</v>
      </c>
      <c r="G113" s="11">
        <f>121-50</f>
        <v>71</v>
      </c>
      <c r="H113" s="11">
        <v>0.08</v>
      </c>
      <c r="I113" s="11">
        <v>0.03</v>
      </c>
      <c r="J113" s="11">
        <v>0.13</v>
      </c>
      <c r="K113" s="11">
        <f>30.2+10</f>
        <v>40.200000000000003</v>
      </c>
      <c r="L113" s="11">
        <f>51.7+20</f>
        <v>71.7</v>
      </c>
    </row>
    <row r="114" spans="1:15" s="82" customFormat="1" ht="15.75" x14ac:dyDescent="0.25">
      <c r="A114" s="115"/>
      <c r="B114" s="116" t="s">
        <v>27</v>
      </c>
      <c r="C114" s="80">
        <v>40</v>
      </c>
      <c r="D114" s="11">
        <v>1.32</v>
      </c>
      <c r="E114" s="11">
        <v>0.24</v>
      </c>
      <c r="F114" s="11">
        <v>7.9279999999999999</v>
      </c>
      <c r="G114" s="11">
        <v>39.6</v>
      </c>
      <c r="H114" s="11">
        <v>3.4000000000000002E-2</v>
      </c>
      <c r="I114" s="11"/>
      <c r="J114" s="11">
        <v>0</v>
      </c>
      <c r="K114" s="11">
        <v>5.8</v>
      </c>
      <c r="L114" s="11">
        <v>30</v>
      </c>
    </row>
    <row r="115" spans="1:15" s="82" customFormat="1" ht="15.75" x14ac:dyDescent="0.25">
      <c r="A115" s="128"/>
      <c r="B115" s="83" t="s">
        <v>28</v>
      </c>
      <c r="C115" s="85">
        <f t="shared" ref="C115:L115" si="12">SUM(C109:C114)</f>
        <v>605</v>
      </c>
      <c r="D115" s="28">
        <f t="shared" si="12"/>
        <v>18.285</v>
      </c>
      <c r="E115" s="28">
        <f>SUM(E109:E114)</f>
        <v>19.174999999999997</v>
      </c>
      <c r="F115" s="28">
        <f t="shared" si="12"/>
        <v>70.432999999999993</v>
      </c>
      <c r="G115" s="28">
        <f t="shared" si="12"/>
        <v>587.5</v>
      </c>
      <c r="H115" s="28">
        <f t="shared" si="12"/>
        <v>0.28000000000000003</v>
      </c>
      <c r="I115" s="28">
        <f>SUM(I109:I114)</f>
        <v>0.33000000000000007</v>
      </c>
      <c r="J115" s="28">
        <f>SUM(J109:J114)</f>
        <v>14.950000000000001</v>
      </c>
      <c r="K115" s="28">
        <f>SUM(K109:K114)</f>
        <v>228.46000000000004</v>
      </c>
      <c r="L115" s="28">
        <f t="shared" si="12"/>
        <v>369.64</v>
      </c>
    </row>
    <row r="116" spans="1:15" s="82" customFormat="1" ht="20.25" customHeight="1" x14ac:dyDescent="0.25">
      <c r="A116" s="180" t="s">
        <v>29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</row>
    <row r="117" spans="1:15" s="82" customFormat="1" ht="15.75" x14ac:dyDescent="0.25">
      <c r="A117" s="115"/>
      <c r="B117" s="116" t="s">
        <v>30</v>
      </c>
      <c r="C117" s="80">
        <v>60</v>
      </c>
      <c r="D117" s="11">
        <v>0.66</v>
      </c>
      <c r="E117" s="11">
        <v>0.12</v>
      </c>
      <c r="F117" s="11">
        <v>2.2799999999999998</v>
      </c>
      <c r="G117" s="11">
        <v>14.4</v>
      </c>
      <c r="H117" s="11">
        <v>3.5999999999999997E-2</v>
      </c>
      <c r="I117" s="11">
        <v>0.1</v>
      </c>
      <c r="J117" s="11">
        <v>11</v>
      </c>
      <c r="K117" s="11">
        <v>12.2</v>
      </c>
      <c r="L117" s="11">
        <v>15.6</v>
      </c>
    </row>
    <row r="118" spans="1:15" s="82" customFormat="1" ht="31.5" x14ac:dyDescent="0.25">
      <c r="A118" s="115" t="s">
        <v>78</v>
      </c>
      <c r="B118" s="116" t="s">
        <v>79</v>
      </c>
      <c r="C118" s="80">
        <v>200</v>
      </c>
      <c r="D118" s="26">
        <f>21.96*0.2</f>
        <v>4.3920000000000003</v>
      </c>
      <c r="E118" s="26">
        <f>21.08*0.2</f>
        <v>4.2160000000000002</v>
      </c>
      <c r="F118" s="26">
        <f>66.14*0.2-5</f>
        <v>8.2280000000000015</v>
      </c>
      <c r="G118" s="26">
        <f>593*0.2</f>
        <v>118.60000000000001</v>
      </c>
      <c r="H118" s="26">
        <f>0.91*0.2-0.09</f>
        <v>9.2000000000000026E-2</v>
      </c>
      <c r="I118" s="26">
        <f>0.29*0.2+0.04</f>
        <v>9.8000000000000004E-2</v>
      </c>
      <c r="J118" s="26">
        <f>23.3*0.2</f>
        <v>4.66</v>
      </c>
      <c r="K118" s="26">
        <f>170.7*0.2+30</f>
        <v>64.14</v>
      </c>
      <c r="L118" s="26">
        <f>352.4*0.2+35</f>
        <v>105.48</v>
      </c>
    </row>
    <row r="119" spans="1:15" s="82" customFormat="1" ht="15.75" x14ac:dyDescent="0.25">
      <c r="A119" s="120" t="s">
        <v>80</v>
      </c>
      <c r="B119" s="121" t="s">
        <v>81</v>
      </c>
      <c r="C119" s="42">
        <v>90</v>
      </c>
      <c r="D119" s="43">
        <f>11.78*0.9-1</f>
        <v>9.6020000000000003</v>
      </c>
      <c r="E119" s="43">
        <f>10.12+4</f>
        <v>14.12</v>
      </c>
      <c r="F119" s="43">
        <v>0.17</v>
      </c>
      <c r="G119" s="43">
        <v>150</v>
      </c>
      <c r="H119" s="43">
        <f>0.05-0.03</f>
        <v>2.0000000000000004E-2</v>
      </c>
      <c r="I119" s="43">
        <v>0.09</v>
      </c>
      <c r="J119" s="43">
        <v>1.44</v>
      </c>
      <c r="K119" s="43">
        <f>38.9+30</f>
        <v>68.900000000000006</v>
      </c>
      <c r="L119" s="43">
        <v>90.5</v>
      </c>
      <c r="M119" s="50"/>
      <c r="N119" s="50"/>
      <c r="O119" s="50"/>
    </row>
    <row r="120" spans="1:15" s="82" customFormat="1" ht="15.75" x14ac:dyDescent="0.25">
      <c r="A120" s="108" t="s">
        <v>34</v>
      </c>
      <c r="B120" s="34" t="s">
        <v>35</v>
      </c>
      <c r="C120" s="33">
        <v>150</v>
      </c>
      <c r="D120" s="11">
        <f>52.73*0.15-2</f>
        <v>5.9094999999999995</v>
      </c>
      <c r="E120" s="11">
        <f>40.62*0.15</f>
        <v>6.0929999999999991</v>
      </c>
      <c r="F120" s="11">
        <f>257.61*0.15</f>
        <v>38.641500000000001</v>
      </c>
      <c r="G120" s="11">
        <f>1652*0.15</f>
        <v>247.79999999999998</v>
      </c>
      <c r="H120" s="11">
        <f>1.39*0.1</f>
        <v>0.13899999999999998</v>
      </c>
      <c r="I120" s="11">
        <f>0.75*0.2</f>
        <v>0.15000000000000002</v>
      </c>
      <c r="J120" s="11"/>
      <c r="K120" s="11">
        <f>98.8</f>
        <v>98.8</v>
      </c>
      <c r="L120" s="11">
        <f>1625*0.15</f>
        <v>243.75</v>
      </c>
    </row>
    <row r="121" spans="1:15" s="50" customFormat="1" ht="23.25" customHeight="1" x14ac:dyDescent="0.25">
      <c r="A121" s="115" t="s">
        <v>36</v>
      </c>
      <c r="B121" s="34" t="s">
        <v>37</v>
      </c>
      <c r="C121" s="33">
        <v>200</v>
      </c>
      <c r="D121" s="11">
        <f>0.8*0.2</f>
        <v>0.16000000000000003</v>
      </c>
      <c r="E121" s="11">
        <f>0.8*0.2</f>
        <v>0.16000000000000003</v>
      </c>
      <c r="F121" s="11">
        <f>139*0.2</f>
        <v>27.8</v>
      </c>
      <c r="G121" s="11">
        <f>573*0.2</f>
        <v>114.60000000000001</v>
      </c>
      <c r="H121" s="11">
        <f>0.06*0.2</f>
        <v>1.2E-2</v>
      </c>
      <c r="I121" s="11">
        <f>0.04*0.2</f>
        <v>8.0000000000000002E-3</v>
      </c>
      <c r="J121" s="11">
        <f>4.5*0.2</f>
        <v>0.9</v>
      </c>
      <c r="K121" s="11">
        <v>91</v>
      </c>
      <c r="L121" s="11">
        <f>22*0.2</f>
        <v>4.4000000000000004</v>
      </c>
      <c r="M121" s="82"/>
      <c r="N121" s="82"/>
      <c r="O121" s="82"/>
    </row>
    <row r="122" spans="1:15" s="82" customFormat="1" ht="15.75" x14ac:dyDescent="0.25">
      <c r="A122" s="115"/>
      <c r="B122" s="116" t="s">
        <v>38</v>
      </c>
      <c r="C122" s="80">
        <v>20</v>
      </c>
      <c r="D122" s="19">
        <v>3.2</v>
      </c>
      <c r="E122" s="19">
        <v>0.79</v>
      </c>
      <c r="F122" s="19">
        <v>29.68</v>
      </c>
      <c r="G122" s="19">
        <v>104</v>
      </c>
      <c r="H122" s="19">
        <v>6.2000000000000006E-2</v>
      </c>
      <c r="I122" s="19"/>
      <c r="J122" s="19">
        <v>0.8</v>
      </c>
      <c r="K122" s="19">
        <v>18.044444444444444</v>
      </c>
      <c r="L122" s="19">
        <v>26</v>
      </c>
    </row>
    <row r="123" spans="1:15" s="82" customFormat="1" ht="15.75" x14ac:dyDescent="0.25">
      <c r="A123" s="115"/>
      <c r="B123" s="116" t="s">
        <v>27</v>
      </c>
      <c r="C123" s="80">
        <v>40</v>
      </c>
      <c r="D123" s="11">
        <v>1.32</v>
      </c>
      <c r="E123" s="11">
        <v>0.24</v>
      </c>
      <c r="F123" s="11">
        <v>7.9279999999999999</v>
      </c>
      <c r="G123" s="11">
        <v>39.6</v>
      </c>
      <c r="H123" s="11">
        <v>3.4000000000000002E-2</v>
      </c>
      <c r="I123" s="11"/>
      <c r="J123" s="11">
        <v>0</v>
      </c>
      <c r="K123" s="11">
        <v>5.8</v>
      </c>
      <c r="L123" s="11">
        <v>30</v>
      </c>
    </row>
    <row r="124" spans="1:15" s="82" customFormat="1" ht="15.75" x14ac:dyDescent="0.25">
      <c r="A124" s="128"/>
      <c r="B124" s="83" t="s">
        <v>39</v>
      </c>
      <c r="C124" s="85">
        <f t="shared" ref="C124:L124" si="13">SUM(C117:C123)</f>
        <v>760</v>
      </c>
      <c r="D124" s="28">
        <f t="shared" si="13"/>
        <v>25.243499999999997</v>
      </c>
      <c r="E124" s="28">
        <f t="shared" si="13"/>
        <v>25.738999999999997</v>
      </c>
      <c r="F124" s="28">
        <f t="shared" si="13"/>
        <v>114.72749999999999</v>
      </c>
      <c r="G124" s="28">
        <f t="shared" si="13"/>
        <v>789</v>
      </c>
      <c r="H124" s="28">
        <f t="shared" si="13"/>
        <v>0.39500000000000002</v>
      </c>
      <c r="I124" s="28">
        <f t="shared" si="13"/>
        <v>0.44600000000000006</v>
      </c>
      <c r="J124" s="28">
        <f t="shared" si="13"/>
        <v>18.8</v>
      </c>
      <c r="K124" s="28">
        <f t="shared" si="13"/>
        <v>358.88444444444445</v>
      </c>
      <c r="L124" s="28">
        <f t="shared" si="13"/>
        <v>515.73</v>
      </c>
    </row>
    <row r="125" spans="1:15" s="82" customFormat="1" ht="20.25" customHeight="1" x14ac:dyDescent="0.25">
      <c r="A125" s="83"/>
      <c r="B125" s="84" t="s">
        <v>82</v>
      </c>
      <c r="C125" s="85">
        <f t="shared" ref="C125:L125" si="14">C124+C115</f>
        <v>1365</v>
      </c>
      <c r="D125" s="22">
        <f t="shared" si="14"/>
        <v>43.528499999999994</v>
      </c>
      <c r="E125" s="22">
        <f t="shared" si="14"/>
        <v>44.913999999999994</v>
      </c>
      <c r="F125" s="22">
        <f t="shared" si="14"/>
        <v>185.16049999999998</v>
      </c>
      <c r="G125" s="22">
        <f t="shared" si="14"/>
        <v>1376.5</v>
      </c>
      <c r="H125" s="22">
        <f t="shared" si="14"/>
        <v>0.67500000000000004</v>
      </c>
      <c r="I125" s="22">
        <f t="shared" si="14"/>
        <v>0.77600000000000013</v>
      </c>
      <c r="J125" s="22">
        <f t="shared" si="14"/>
        <v>33.75</v>
      </c>
      <c r="K125" s="22">
        <f t="shared" si="14"/>
        <v>587.34444444444443</v>
      </c>
      <c r="L125" s="22">
        <f t="shared" si="14"/>
        <v>885.37</v>
      </c>
    </row>
    <row r="126" spans="1:15" s="82" customFormat="1" ht="15.75" x14ac:dyDescent="0.25">
      <c r="A126" s="179" t="s">
        <v>83</v>
      </c>
      <c r="B126" s="179"/>
      <c r="C126" s="117">
        <f>SUM(C40,C58,C77,C95,C115)/5</f>
        <v>581.20000000000005</v>
      </c>
      <c r="D126" s="97">
        <f t="shared" ref="D126:L126" si="15">SUM(D40,D58,D77,D95,D115)/5</f>
        <v>17.932449999999999</v>
      </c>
      <c r="E126" s="97">
        <f t="shared" si="15"/>
        <v>18.411599999999996</v>
      </c>
      <c r="F126" s="97">
        <f t="shared" si="15"/>
        <v>77.25160000000001</v>
      </c>
      <c r="G126" s="97">
        <f t="shared" si="15"/>
        <v>564.38799999999992</v>
      </c>
      <c r="H126" s="97">
        <f t="shared" si="15"/>
        <v>0.26100000000000001</v>
      </c>
      <c r="I126" s="97">
        <f t="shared" si="15"/>
        <v>0.31380000000000002</v>
      </c>
      <c r="J126" s="97">
        <f t="shared" si="15"/>
        <v>14.681999999999999</v>
      </c>
      <c r="K126" s="97">
        <f t="shared" si="15"/>
        <v>242.11355555555556</v>
      </c>
      <c r="L126" s="97">
        <f t="shared" si="15"/>
        <v>359.60299999999995</v>
      </c>
      <c r="M126" s="86"/>
      <c r="N126" s="86"/>
      <c r="O126" s="86"/>
    </row>
    <row r="127" spans="1:15" s="82" customFormat="1" ht="15.75" x14ac:dyDescent="0.25">
      <c r="A127" s="179" t="s">
        <v>84</v>
      </c>
      <c r="B127" s="179"/>
      <c r="C127" s="117">
        <f>SUM(C49,C67,C86,C105,C124)/5</f>
        <v>789</v>
      </c>
      <c r="D127" s="97">
        <f t="shared" ref="D127:L127" si="16">SUM(D49,D67,D86,D105,D124)/5</f>
        <v>24.844109999999997</v>
      </c>
      <c r="E127" s="97">
        <f t="shared" si="16"/>
        <v>25.917300000000001</v>
      </c>
      <c r="F127" s="97">
        <f t="shared" si="16"/>
        <v>112.552125</v>
      </c>
      <c r="G127" s="97">
        <f t="shared" si="16"/>
        <v>762.9849999999999</v>
      </c>
      <c r="H127" s="97">
        <f t="shared" si="16"/>
        <v>0.39466000000000001</v>
      </c>
      <c r="I127" s="97">
        <f t="shared" si="16"/>
        <v>0.44984999999999997</v>
      </c>
      <c r="J127" s="97">
        <f t="shared" si="16"/>
        <v>20.066500000000001</v>
      </c>
      <c r="K127" s="97">
        <f t="shared" si="16"/>
        <v>344.91915555555556</v>
      </c>
      <c r="L127" s="97">
        <f t="shared" si="16"/>
        <v>531.06074999999987</v>
      </c>
      <c r="M127" s="86"/>
      <c r="N127" s="86"/>
      <c r="O127" s="86"/>
    </row>
    <row r="128" spans="1:15" s="86" customFormat="1" ht="15.75" hidden="1" x14ac:dyDescent="0.25">
      <c r="A128" s="182" t="s">
        <v>85</v>
      </c>
      <c r="B128" s="182"/>
      <c r="C128" s="182"/>
      <c r="D128" s="182"/>
      <c r="E128" s="182"/>
      <c r="F128" s="182"/>
      <c r="G128" s="182"/>
      <c r="H128" s="127"/>
      <c r="I128" s="127"/>
      <c r="J128" s="127"/>
      <c r="K128" s="127"/>
      <c r="L128" s="127"/>
    </row>
    <row r="129" spans="1:15" s="86" customFormat="1" ht="15.75" hidden="1" x14ac:dyDescent="0.25">
      <c r="A129" s="171" t="s">
        <v>16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</row>
    <row r="130" spans="1:15" s="86" customFormat="1" ht="15.75" x14ac:dyDescent="0.25">
      <c r="A130" s="129"/>
      <c r="B130" s="130" t="s">
        <v>30</v>
      </c>
      <c r="C130" s="87">
        <v>60</v>
      </c>
      <c r="D130" s="10">
        <v>0.66</v>
      </c>
      <c r="E130" s="10">
        <v>0.12</v>
      </c>
      <c r="F130" s="10">
        <v>2.2799999999999998</v>
      </c>
      <c r="G130" s="10">
        <v>14.4</v>
      </c>
      <c r="H130" s="11">
        <v>3.5999999999999997E-2</v>
      </c>
      <c r="I130" s="11">
        <v>0.1</v>
      </c>
      <c r="J130" s="11">
        <v>5</v>
      </c>
      <c r="K130" s="11">
        <v>12.2</v>
      </c>
      <c r="L130" s="11">
        <v>15.6</v>
      </c>
      <c r="M130" s="82"/>
      <c r="N130" s="82"/>
      <c r="O130" s="82"/>
    </row>
    <row r="131" spans="1:15" s="86" customFormat="1" ht="15.75" x14ac:dyDescent="0.25">
      <c r="A131" s="131" t="s">
        <v>21</v>
      </c>
      <c r="B131" s="130" t="s">
        <v>22</v>
      </c>
      <c r="C131" s="87">
        <v>40</v>
      </c>
      <c r="D131" s="10">
        <v>5.08</v>
      </c>
      <c r="E131" s="10">
        <v>4.5999999999999996</v>
      </c>
      <c r="F131" s="10">
        <v>0.28000000000000003</v>
      </c>
      <c r="G131" s="10">
        <v>63</v>
      </c>
      <c r="H131" s="11">
        <v>0.03</v>
      </c>
      <c r="I131" s="11">
        <v>0.03</v>
      </c>
      <c r="J131" s="11"/>
      <c r="K131" s="11">
        <v>22</v>
      </c>
      <c r="L131" s="11">
        <v>76.8</v>
      </c>
      <c r="M131" s="82"/>
      <c r="N131" s="82"/>
      <c r="O131" s="82"/>
    </row>
    <row r="132" spans="1:15" s="82" customFormat="1" ht="31.5" x14ac:dyDescent="0.25">
      <c r="A132" s="131" t="s">
        <v>86</v>
      </c>
      <c r="B132" s="130" t="s">
        <v>87</v>
      </c>
      <c r="C132" s="87">
        <v>90</v>
      </c>
      <c r="D132" s="25">
        <v>6.61</v>
      </c>
      <c r="E132" s="25">
        <v>6.44</v>
      </c>
      <c r="F132" s="25">
        <v>9.41</v>
      </c>
      <c r="G132" s="25">
        <v>122</v>
      </c>
      <c r="H132" s="26">
        <f>0.06+0.03</f>
        <v>0.09</v>
      </c>
      <c r="I132" s="26">
        <f>0.05+0.05</f>
        <v>0.1</v>
      </c>
      <c r="J132" s="26"/>
      <c r="K132" s="26">
        <v>51.05</v>
      </c>
      <c r="L132" s="26">
        <f>97.9+50</f>
        <v>147.9</v>
      </c>
    </row>
    <row r="133" spans="1:15" s="82" customFormat="1" ht="15.75" x14ac:dyDescent="0.25">
      <c r="A133" s="131" t="s">
        <v>88</v>
      </c>
      <c r="B133" s="130" t="s">
        <v>89</v>
      </c>
      <c r="C133" s="87">
        <v>150</v>
      </c>
      <c r="D133" s="25">
        <f>24.34*0.15</f>
        <v>3.6509999999999998</v>
      </c>
      <c r="E133" s="25">
        <f>35.83*0.15</f>
        <v>5.3744999999999994</v>
      </c>
      <c r="F133" s="25">
        <f>244.56*0.15</f>
        <v>36.683999999999997</v>
      </c>
      <c r="G133" s="25">
        <f>1396*0.15</f>
        <v>209.4</v>
      </c>
      <c r="H133" s="26">
        <f>0.17*0.15</f>
        <v>2.5500000000000002E-2</v>
      </c>
      <c r="I133" s="26">
        <f>0.13*0.15</f>
        <v>1.95E-2</v>
      </c>
      <c r="J133" s="26"/>
      <c r="K133" s="26">
        <v>91</v>
      </c>
      <c r="L133" s="26">
        <f>406.3*0.15+40</f>
        <v>100.94499999999999</v>
      </c>
    </row>
    <row r="134" spans="1:15" s="82" customFormat="1" ht="15.75" x14ac:dyDescent="0.25">
      <c r="A134" s="101" t="s">
        <v>23</v>
      </c>
      <c r="B134" s="8" t="s">
        <v>24</v>
      </c>
      <c r="C134" s="9">
        <v>100</v>
      </c>
      <c r="D134" s="10">
        <v>0.4</v>
      </c>
      <c r="E134" s="10">
        <v>0.2</v>
      </c>
      <c r="F134" s="10">
        <v>9.8000000000000007</v>
      </c>
      <c r="G134" s="10">
        <v>47</v>
      </c>
      <c r="H134" s="11">
        <v>0.04</v>
      </c>
      <c r="I134" s="11">
        <v>0.05</v>
      </c>
      <c r="J134" s="11">
        <f>10-3</f>
        <v>7</v>
      </c>
      <c r="K134" s="11">
        <f>16+10</f>
        <v>26</v>
      </c>
      <c r="L134" s="11">
        <v>11</v>
      </c>
    </row>
    <row r="135" spans="1:15" s="82" customFormat="1" ht="15.75" x14ac:dyDescent="0.25">
      <c r="A135" s="102" t="s">
        <v>25</v>
      </c>
      <c r="B135" s="16" t="s">
        <v>26</v>
      </c>
      <c r="C135" s="17">
        <v>222</v>
      </c>
      <c r="D135" s="18">
        <v>0.13</v>
      </c>
      <c r="E135" s="18">
        <v>0.02</v>
      </c>
      <c r="F135" s="18">
        <v>15.2</v>
      </c>
      <c r="G135" s="18">
        <v>62</v>
      </c>
      <c r="H135" s="19"/>
      <c r="I135" s="19"/>
      <c r="J135" s="19">
        <v>2.83</v>
      </c>
      <c r="K135" s="19">
        <v>14.2</v>
      </c>
      <c r="L135" s="19">
        <v>4.4000000000000004</v>
      </c>
    </row>
    <row r="136" spans="1:15" s="82" customFormat="1" ht="15.75" x14ac:dyDescent="0.25">
      <c r="A136" s="129"/>
      <c r="B136" s="130" t="s">
        <v>27</v>
      </c>
      <c r="C136" s="87">
        <v>40</v>
      </c>
      <c r="D136" s="10">
        <v>1.32</v>
      </c>
      <c r="E136" s="10">
        <v>0.24</v>
      </c>
      <c r="F136" s="10">
        <v>7.9279999999999999</v>
      </c>
      <c r="G136" s="10">
        <v>39.6</v>
      </c>
      <c r="H136" s="11">
        <v>3.4000000000000002E-2</v>
      </c>
      <c r="I136" s="11"/>
      <c r="J136" s="11">
        <v>0</v>
      </c>
      <c r="K136" s="11">
        <v>5.8</v>
      </c>
      <c r="L136" s="11">
        <v>30</v>
      </c>
    </row>
    <row r="137" spans="1:15" s="82" customFormat="1" ht="15.75" x14ac:dyDescent="0.25">
      <c r="A137" s="132"/>
      <c r="B137" s="88" t="s">
        <v>28</v>
      </c>
      <c r="C137" s="20">
        <f t="shared" ref="C137:L137" si="17">SUM(C130:C136)</f>
        <v>702</v>
      </c>
      <c r="D137" s="27">
        <f t="shared" si="17"/>
        <v>17.850999999999999</v>
      </c>
      <c r="E137" s="27">
        <f t="shared" si="17"/>
        <v>16.994499999999999</v>
      </c>
      <c r="F137" s="27">
        <f t="shared" si="17"/>
        <v>81.581999999999994</v>
      </c>
      <c r="G137" s="27">
        <f t="shared" si="17"/>
        <v>557.4</v>
      </c>
      <c r="H137" s="28">
        <f t="shared" si="17"/>
        <v>0.2555</v>
      </c>
      <c r="I137" s="28">
        <f>SUM(I130:I136)</f>
        <v>0.29949999999999999</v>
      </c>
      <c r="J137" s="28">
        <f>SUM(J130:J136)</f>
        <v>14.83</v>
      </c>
      <c r="K137" s="28">
        <f t="shared" si="17"/>
        <v>222.25</v>
      </c>
      <c r="L137" s="28">
        <f t="shared" si="17"/>
        <v>386.64499999999998</v>
      </c>
    </row>
    <row r="138" spans="1:15" s="82" customFormat="1" ht="20.25" customHeight="1" x14ac:dyDescent="0.25">
      <c r="A138" s="171" t="s">
        <v>29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</row>
    <row r="139" spans="1:15" s="82" customFormat="1" ht="15.75" x14ac:dyDescent="0.25">
      <c r="A139" s="7"/>
      <c r="B139" s="8" t="s">
        <v>30</v>
      </c>
      <c r="C139" s="9">
        <v>60</v>
      </c>
      <c r="D139" s="10">
        <v>0.66</v>
      </c>
      <c r="E139" s="10">
        <v>0.12</v>
      </c>
      <c r="F139" s="10">
        <v>2.2799999999999998</v>
      </c>
      <c r="G139" s="10">
        <v>14.4</v>
      </c>
      <c r="H139" s="11">
        <v>3.5999999999999997E-2</v>
      </c>
      <c r="I139" s="11">
        <v>0.1</v>
      </c>
      <c r="J139" s="11">
        <v>11</v>
      </c>
      <c r="K139" s="11">
        <v>12.2</v>
      </c>
      <c r="L139" s="11">
        <f>15.6</f>
        <v>15.6</v>
      </c>
    </row>
    <row r="140" spans="1:15" s="82" customFormat="1" ht="31.5" x14ac:dyDescent="0.25">
      <c r="A140" s="104">
        <v>82</v>
      </c>
      <c r="B140" s="23" t="s">
        <v>90</v>
      </c>
      <c r="C140" s="24">
        <v>200</v>
      </c>
      <c r="D140" s="25">
        <f>7.21*0.15</f>
        <v>1.0814999999999999</v>
      </c>
      <c r="E140" s="25">
        <f>19.68*0.22</f>
        <v>4.3296000000000001</v>
      </c>
      <c r="F140" s="25">
        <f>47.73*0.2-2</f>
        <v>7.5459999999999994</v>
      </c>
      <c r="G140" s="25">
        <f>415*0.2-5</f>
        <v>78</v>
      </c>
      <c r="H140" s="26">
        <f>0.2*0.15</f>
        <v>0.03</v>
      </c>
      <c r="I140" s="26">
        <f>0.19*0.15</f>
        <v>2.8499999999999998E-2</v>
      </c>
      <c r="J140" s="26">
        <f>42.7*0.2-3</f>
        <v>5.5400000000000009</v>
      </c>
      <c r="K140" s="26">
        <v>51</v>
      </c>
      <c r="L140" s="26">
        <f>1359.5*0.1-60</f>
        <v>75.950000000000017</v>
      </c>
    </row>
    <row r="141" spans="1:15" s="82" customFormat="1" ht="15.75" x14ac:dyDescent="0.25">
      <c r="A141" s="129" t="s">
        <v>91</v>
      </c>
      <c r="B141" s="130" t="s">
        <v>92</v>
      </c>
      <c r="C141" s="87">
        <v>90</v>
      </c>
      <c r="D141" s="10">
        <f>14.4-2</f>
        <v>12.4</v>
      </c>
      <c r="E141" s="10">
        <v>12.25</v>
      </c>
      <c r="F141" s="10">
        <v>3.78</v>
      </c>
      <c r="G141" s="10">
        <v>181</v>
      </c>
      <c r="H141" s="11">
        <f>0.03+0.05</f>
        <v>0.08</v>
      </c>
      <c r="I141" s="11">
        <f>0.07+0.07</f>
        <v>0.14000000000000001</v>
      </c>
      <c r="J141" s="11">
        <v>0.37</v>
      </c>
      <c r="K141" s="11">
        <f>33.58+50</f>
        <v>83.58</v>
      </c>
      <c r="L141" s="11">
        <v>124.92</v>
      </c>
    </row>
    <row r="142" spans="1:15" s="82" customFormat="1" ht="15.75" x14ac:dyDescent="0.25">
      <c r="A142" s="99" t="s">
        <v>34</v>
      </c>
      <c r="B142" s="8" t="s">
        <v>35</v>
      </c>
      <c r="C142" s="9">
        <v>150</v>
      </c>
      <c r="D142" s="10">
        <f>52.73*0.15-2</f>
        <v>5.9094999999999995</v>
      </c>
      <c r="E142" s="10">
        <f>40.62*0.15</f>
        <v>6.0929999999999991</v>
      </c>
      <c r="F142" s="10">
        <f>257.61*0.15</f>
        <v>38.641500000000001</v>
      </c>
      <c r="G142" s="10">
        <f>1652*0.15</f>
        <v>247.79999999999998</v>
      </c>
      <c r="H142" s="11">
        <f>1.39*0.1</f>
        <v>0.13899999999999998</v>
      </c>
      <c r="I142" s="11">
        <f>0.75*0.2</f>
        <v>0.15000000000000002</v>
      </c>
      <c r="J142" s="11"/>
      <c r="K142" s="11">
        <f>98.8</f>
        <v>98.8</v>
      </c>
      <c r="L142" s="11">
        <f>1625*0.15</f>
        <v>243.75</v>
      </c>
    </row>
    <row r="143" spans="1:15" s="82" customFormat="1" ht="15.75" x14ac:dyDescent="0.25">
      <c r="A143" s="129"/>
      <c r="B143" s="130" t="s">
        <v>93</v>
      </c>
      <c r="C143" s="87">
        <v>200</v>
      </c>
      <c r="D143" s="25">
        <v>1</v>
      </c>
      <c r="E143" s="25"/>
      <c r="F143" s="25">
        <v>19.8</v>
      </c>
      <c r="G143" s="25">
        <v>86.6</v>
      </c>
      <c r="H143" s="26">
        <v>0.02</v>
      </c>
      <c r="I143" s="26">
        <v>0.01</v>
      </c>
      <c r="J143" s="26">
        <f>4-1.5</f>
        <v>2.5</v>
      </c>
      <c r="K143" s="26">
        <f>14+60</f>
        <v>74</v>
      </c>
      <c r="L143" s="26">
        <v>14</v>
      </c>
    </row>
    <row r="144" spans="1:15" s="82" customFormat="1" ht="15.75" x14ac:dyDescent="0.25">
      <c r="A144" s="129"/>
      <c r="B144" s="130" t="s">
        <v>38</v>
      </c>
      <c r="C144" s="87">
        <v>20</v>
      </c>
      <c r="D144" s="18">
        <v>3.2</v>
      </c>
      <c r="E144" s="18">
        <v>0.79</v>
      </c>
      <c r="F144" s="18">
        <v>29.68</v>
      </c>
      <c r="G144" s="18">
        <v>104</v>
      </c>
      <c r="H144" s="19">
        <v>6.2000000000000006E-2</v>
      </c>
      <c r="I144" s="19"/>
      <c r="J144" s="19">
        <v>0.8</v>
      </c>
      <c r="K144" s="19">
        <v>18.044444444444444</v>
      </c>
      <c r="L144" s="19">
        <v>26</v>
      </c>
    </row>
    <row r="145" spans="1:12" s="82" customFormat="1" ht="15.75" x14ac:dyDescent="0.25">
      <c r="A145" s="129"/>
      <c r="B145" s="130" t="s">
        <v>27</v>
      </c>
      <c r="C145" s="87">
        <v>40</v>
      </c>
      <c r="D145" s="10">
        <v>1.32</v>
      </c>
      <c r="E145" s="10">
        <v>0.24</v>
      </c>
      <c r="F145" s="10">
        <v>7.9279999999999999</v>
      </c>
      <c r="G145" s="10">
        <v>39.6</v>
      </c>
      <c r="H145" s="11">
        <v>3.4000000000000002E-2</v>
      </c>
      <c r="I145" s="11"/>
      <c r="J145" s="11">
        <v>0</v>
      </c>
      <c r="K145" s="11">
        <v>5.8</v>
      </c>
      <c r="L145" s="11">
        <v>30</v>
      </c>
    </row>
    <row r="146" spans="1:12" s="82" customFormat="1" ht="15.75" x14ac:dyDescent="0.25">
      <c r="A146" s="132"/>
      <c r="B146" s="88" t="s">
        <v>39</v>
      </c>
      <c r="C146" s="20">
        <f t="shared" ref="C146:L146" si="18">SUM(C139:C145)</f>
        <v>760</v>
      </c>
      <c r="D146" s="27">
        <f t="shared" si="18"/>
        <v>25.571000000000002</v>
      </c>
      <c r="E146" s="27">
        <f t="shared" si="18"/>
        <v>23.822599999999998</v>
      </c>
      <c r="F146" s="27">
        <f t="shared" si="18"/>
        <v>109.65549999999999</v>
      </c>
      <c r="G146" s="27">
        <f t="shared" si="18"/>
        <v>751.4</v>
      </c>
      <c r="H146" s="28">
        <f t="shared" si="18"/>
        <v>0.40100000000000002</v>
      </c>
      <c r="I146" s="28">
        <f>SUM(I139:I145)</f>
        <v>0.42850000000000005</v>
      </c>
      <c r="J146" s="28">
        <f t="shared" si="18"/>
        <v>20.21</v>
      </c>
      <c r="K146" s="28">
        <f t="shared" si="18"/>
        <v>343.42444444444442</v>
      </c>
      <c r="L146" s="28">
        <f t="shared" si="18"/>
        <v>530.22</v>
      </c>
    </row>
    <row r="147" spans="1:12" s="82" customFormat="1" ht="20.25" customHeight="1" x14ac:dyDescent="0.25">
      <c r="A147" s="113"/>
      <c r="B147" s="88" t="s">
        <v>94</v>
      </c>
      <c r="C147" s="20">
        <f t="shared" ref="C147:L147" si="19">C146+C137</f>
        <v>1462</v>
      </c>
      <c r="D147" s="21">
        <f t="shared" si="19"/>
        <v>43.421999999999997</v>
      </c>
      <c r="E147" s="21">
        <f t="shared" si="19"/>
        <v>40.817099999999996</v>
      </c>
      <c r="F147" s="21">
        <f t="shared" si="19"/>
        <v>191.23749999999998</v>
      </c>
      <c r="G147" s="21">
        <f t="shared" si="19"/>
        <v>1308.8</v>
      </c>
      <c r="H147" s="22">
        <f t="shared" si="19"/>
        <v>0.65650000000000008</v>
      </c>
      <c r="I147" s="22">
        <f t="shared" si="19"/>
        <v>0.72799999999999998</v>
      </c>
      <c r="J147" s="22">
        <f t="shared" si="19"/>
        <v>35.04</v>
      </c>
      <c r="K147" s="22">
        <f t="shared" si="19"/>
        <v>565.67444444444436</v>
      </c>
      <c r="L147" s="22">
        <f t="shared" si="19"/>
        <v>916.86500000000001</v>
      </c>
    </row>
    <row r="148" spans="1:12" s="82" customFormat="1" ht="15.75" x14ac:dyDescent="0.25">
      <c r="A148" s="182" t="s">
        <v>95</v>
      </c>
      <c r="B148" s="182"/>
      <c r="C148" s="182"/>
      <c r="D148" s="182"/>
      <c r="E148" s="182"/>
      <c r="F148" s="182"/>
      <c r="G148" s="182"/>
      <c r="H148" s="127"/>
      <c r="I148" s="127"/>
      <c r="J148" s="127"/>
      <c r="K148" s="127"/>
      <c r="L148" s="127"/>
    </row>
    <row r="149" spans="1:12" s="82" customFormat="1" ht="15.75" x14ac:dyDescent="0.25">
      <c r="A149" s="171" t="s">
        <v>16</v>
      </c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</row>
    <row r="150" spans="1:12" s="82" customFormat="1" ht="31.5" x14ac:dyDescent="0.25">
      <c r="A150" s="131" t="s">
        <v>64</v>
      </c>
      <c r="B150" s="130" t="s">
        <v>96</v>
      </c>
      <c r="C150" s="87">
        <v>200</v>
      </c>
      <c r="D150" s="25">
        <f>5.95/80*150</f>
        <v>11.15625</v>
      </c>
      <c r="E150" s="25">
        <f>5.25/80*200</f>
        <v>13.125</v>
      </c>
      <c r="F150" s="25">
        <f>32.01/80*110</f>
        <v>44.013749999999995</v>
      </c>
      <c r="G150" s="25">
        <f>199/80*120</f>
        <v>298.5</v>
      </c>
      <c r="H150" s="26">
        <f>0.036/80*200+0.06</f>
        <v>0.15</v>
      </c>
      <c r="I150" s="26">
        <f>0.18-0.07</f>
        <v>0.10999999999999999</v>
      </c>
      <c r="J150" s="26">
        <f>8.52-2.5</f>
        <v>6.02</v>
      </c>
      <c r="K150" s="26">
        <f>63.12/80*120</f>
        <v>94.679999999999993</v>
      </c>
      <c r="L150" s="26">
        <f>82.63/80*200+20</f>
        <v>226.57499999999999</v>
      </c>
    </row>
    <row r="151" spans="1:12" s="82" customFormat="1" ht="15.75" x14ac:dyDescent="0.25">
      <c r="A151" s="129" t="s">
        <v>97</v>
      </c>
      <c r="B151" s="130" t="s">
        <v>98</v>
      </c>
      <c r="C151" s="87">
        <v>200</v>
      </c>
      <c r="D151" s="10">
        <f>20.39*0.2</f>
        <v>4.0780000000000003</v>
      </c>
      <c r="E151" s="10">
        <f>17.72*0.2</f>
        <v>3.544</v>
      </c>
      <c r="F151" s="10">
        <f>87.89*0.2</f>
        <v>17.577999999999999</v>
      </c>
      <c r="G151" s="10">
        <f>593*0.2</f>
        <v>118.60000000000001</v>
      </c>
      <c r="H151" s="11">
        <f>0.28*0.2</f>
        <v>5.6000000000000008E-2</v>
      </c>
      <c r="I151" s="11">
        <f>0.94*0.2</f>
        <v>0.188</v>
      </c>
      <c r="J151" s="11">
        <f>7.94*0.2</f>
        <v>1.5880000000000001</v>
      </c>
      <c r="K151" s="11">
        <f>761.1*0.2-36</f>
        <v>116.22</v>
      </c>
      <c r="L151" s="11">
        <f>622.8*0.2</f>
        <v>124.56</v>
      </c>
    </row>
    <row r="152" spans="1:12" s="82" customFormat="1" ht="15.75" x14ac:dyDescent="0.25">
      <c r="A152" s="101" t="s">
        <v>23</v>
      </c>
      <c r="B152" s="8" t="s">
        <v>24</v>
      </c>
      <c r="C152" s="9">
        <v>100</v>
      </c>
      <c r="D152" s="10">
        <v>0.4</v>
      </c>
      <c r="E152" s="10">
        <v>0.2</v>
      </c>
      <c r="F152" s="10">
        <v>9.8000000000000007</v>
      </c>
      <c r="G152" s="10">
        <v>47</v>
      </c>
      <c r="H152" s="11">
        <v>0.04</v>
      </c>
      <c r="I152" s="11">
        <v>0.05</v>
      </c>
      <c r="J152" s="11">
        <f>10-3</f>
        <v>7</v>
      </c>
      <c r="K152" s="11">
        <f>16+10</f>
        <v>26</v>
      </c>
      <c r="L152" s="11">
        <v>11</v>
      </c>
    </row>
    <row r="153" spans="1:12" s="82" customFormat="1" ht="15.75" x14ac:dyDescent="0.25">
      <c r="A153" s="129"/>
      <c r="B153" s="130" t="s">
        <v>27</v>
      </c>
      <c r="C153" s="87">
        <v>40</v>
      </c>
      <c r="D153" s="10">
        <v>1.32</v>
      </c>
      <c r="E153" s="10">
        <v>0.24</v>
      </c>
      <c r="F153" s="10">
        <v>7.9279999999999999</v>
      </c>
      <c r="G153" s="10">
        <v>39.6</v>
      </c>
      <c r="H153" s="11">
        <v>3.4000000000000002E-2</v>
      </c>
      <c r="I153" s="11"/>
      <c r="J153" s="11">
        <v>0</v>
      </c>
      <c r="K153" s="11">
        <v>5.8</v>
      </c>
      <c r="L153" s="11">
        <v>30</v>
      </c>
    </row>
    <row r="154" spans="1:12" s="82" customFormat="1" ht="15.75" x14ac:dyDescent="0.25">
      <c r="A154" s="133"/>
      <c r="B154" s="88" t="s">
        <v>28</v>
      </c>
      <c r="C154" s="20">
        <f t="shared" ref="C154:L154" si="20">SUM(C150:C153)</f>
        <v>540</v>
      </c>
      <c r="D154" s="27">
        <f t="shared" si="20"/>
        <v>16.954249999999998</v>
      </c>
      <c r="E154" s="27">
        <f t="shared" si="20"/>
        <v>17.108999999999998</v>
      </c>
      <c r="F154" s="27">
        <f>SUM(F150:F153)</f>
        <v>79.319749999999985</v>
      </c>
      <c r="G154" s="27">
        <f t="shared" si="20"/>
        <v>503.70000000000005</v>
      </c>
      <c r="H154" s="28">
        <f t="shared" si="20"/>
        <v>0.28000000000000003</v>
      </c>
      <c r="I154" s="28">
        <f>SUM(I150:I153)</f>
        <v>0.34799999999999998</v>
      </c>
      <c r="J154" s="28">
        <f t="shared" si="20"/>
        <v>14.608000000000001</v>
      </c>
      <c r="K154" s="28">
        <f t="shared" si="20"/>
        <v>242.7</v>
      </c>
      <c r="L154" s="28">
        <f t="shared" si="20"/>
        <v>392.13499999999999</v>
      </c>
    </row>
    <row r="155" spans="1:12" s="82" customFormat="1" ht="20.25" customHeight="1" x14ac:dyDescent="0.25">
      <c r="A155" s="171" t="s">
        <v>29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</row>
    <row r="156" spans="1:12" s="82" customFormat="1" ht="15.75" x14ac:dyDescent="0.25">
      <c r="A156" s="99"/>
      <c r="B156" s="8" t="s">
        <v>30</v>
      </c>
      <c r="C156" s="9">
        <v>60</v>
      </c>
      <c r="D156" s="10">
        <v>0.66</v>
      </c>
      <c r="E156" s="10">
        <v>0.12</v>
      </c>
      <c r="F156" s="10">
        <v>2.2799999999999998</v>
      </c>
      <c r="G156" s="10">
        <v>14.4</v>
      </c>
      <c r="H156" s="11">
        <v>3.5999999999999997E-2</v>
      </c>
      <c r="I156" s="11">
        <v>0.1</v>
      </c>
      <c r="J156" s="11">
        <v>5</v>
      </c>
      <c r="K156" s="11">
        <f>12.2+20</f>
        <v>32.200000000000003</v>
      </c>
      <c r="L156" s="11">
        <f>15.6</f>
        <v>15.6</v>
      </c>
    </row>
    <row r="157" spans="1:12" s="82" customFormat="1" ht="15" customHeight="1" x14ac:dyDescent="0.25">
      <c r="A157" s="129" t="s">
        <v>99</v>
      </c>
      <c r="B157" s="130" t="s">
        <v>100</v>
      </c>
      <c r="C157" s="87">
        <v>200</v>
      </c>
      <c r="D157" s="25">
        <f>5.93*0.2</f>
        <v>1.1859999999999999</v>
      </c>
      <c r="E157" s="25">
        <f>19.67*0.2</f>
        <v>3.9340000000000006</v>
      </c>
      <c r="F157" s="25">
        <f>24.36*0.2</f>
        <v>4.8719999999999999</v>
      </c>
      <c r="G157" s="25">
        <f>305*0.2</f>
        <v>61</v>
      </c>
      <c r="H157" s="26">
        <f>0.17*0.8</f>
        <v>0.13600000000000001</v>
      </c>
      <c r="I157" s="26">
        <f>0.13*0.8</f>
        <v>0.10400000000000001</v>
      </c>
      <c r="J157" s="26">
        <f>39.5*0.2-2</f>
        <v>5.9</v>
      </c>
      <c r="K157" s="26">
        <f>43.5+50</f>
        <v>93.5</v>
      </c>
      <c r="L157" s="26">
        <f>134.3</f>
        <v>134.30000000000001</v>
      </c>
    </row>
    <row r="158" spans="1:12" s="82" customFormat="1" ht="15.75" x14ac:dyDescent="0.25">
      <c r="A158" s="129" t="s">
        <v>101</v>
      </c>
      <c r="B158" s="130" t="s">
        <v>102</v>
      </c>
      <c r="C158" s="87">
        <v>150</v>
      </c>
      <c r="D158" s="25">
        <v>16.489999999999998</v>
      </c>
      <c r="E158" s="25">
        <f>16.89+3.2</f>
        <v>20.09</v>
      </c>
      <c r="F158" s="25">
        <v>26.02</v>
      </c>
      <c r="G158" s="25">
        <f>322+43.2</f>
        <v>365.2</v>
      </c>
      <c r="H158" s="26">
        <f>0.03+0.02</f>
        <v>0.05</v>
      </c>
      <c r="I158" s="26">
        <f>0.14+0.05</f>
        <v>0.19</v>
      </c>
      <c r="J158" s="26">
        <f>0.32</f>
        <v>0.32</v>
      </c>
      <c r="K158" s="26">
        <f>14.23+50</f>
        <v>64.23</v>
      </c>
      <c r="L158" s="26">
        <v>250.43</v>
      </c>
    </row>
    <row r="159" spans="1:12" s="82" customFormat="1" ht="15.75" x14ac:dyDescent="0.25">
      <c r="A159" s="129" t="s">
        <v>36</v>
      </c>
      <c r="B159" s="8" t="s">
        <v>37</v>
      </c>
      <c r="C159" s="9">
        <v>200</v>
      </c>
      <c r="D159" s="10">
        <f>0.8*0.2</f>
        <v>0.16000000000000003</v>
      </c>
      <c r="E159" s="10">
        <f>0.8*0.2</f>
        <v>0.16000000000000003</v>
      </c>
      <c r="F159" s="10">
        <f>139*0.2</f>
        <v>27.8</v>
      </c>
      <c r="G159" s="10">
        <f>573*0.2</f>
        <v>114.60000000000001</v>
      </c>
      <c r="H159" s="11">
        <f>0.06*0.2</f>
        <v>1.2E-2</v>
      </c>
      <c r="I159" s="11">
        <f>0.04*0.2</f>
        <v>8.0000000000000002E-3</v>
      </c>
      <c r="J159" s="11">
        <f>4.5*0.2</f>
        <v>0.9</v>
      </c>
      <c r="K159" s="11">
        <f>91+20</f>
        <v>111</v>
      </c>
      <c r="L159" s="11">
        <v>30</v>
      </c>
    </row>
    <row r="160" spans="1:12" s="82" customFormat="1" ht="15.75" x14ac:dyDescent="0.25">
      <c r="A160" s="101" t="s">
        <v>23</v>
      </c>
      <c r="B160" s="8" t="s">
        <v>24</v>
      </c>
      <c r="C160" s="9">
        <v>100</v>
      </c>
      <c r="D160" s="10">
        <v>0.4</v>
      </c>
      <c r="E160" s="10">
        <v>0.2</v>
      </c>
      <c r="F160" s="10">
        <v>9.8000000000000007</v>
      </c>
      <c r="G160" s="10">
        <v>47</v>
      </c>
      <c r="H160" s="11">
        <v>0.04</v>
      </c>
      <c r="I160" s="11">
        <v>0.05</v>
      </c>
      <c r="J160" s="11">
        <f>10-3</f>
        <v>7</v>
      </c>
      <c r="K160" s="11">
        <f>16</f>
        <v>16</v>
      </c>
      <c r="L160" s="11">
        <v>11</v>
      </c>
    </row>
    <row r="161" spans="1:12" s="82" customFormat="1" ht="15.75" x14ac:dyDescent="0.25">
      <c r="A161" s="129"/>
      <c r="B161" s="130" t="s">
        <v>38</v>
      </c>
      <c r="C161" s="87">
        <v>20</v>
      </c>
      <c r="D161" s="18">
        <v>3.2</v>
      </c>
      <c r="E161" s="18">
        <v>0.79</v>
      </c>
      <c r="F161" s="18">
        <v>29.68</v>
      </c>
      <c r="G161" s="18">
        <v>104</v>
      </c>
      <c r="H161" s="19">
        <v>6.2000000000000006E-2</v>
      </c>
      <c r="I161" s="19"/>
      <c r="J161" s="19">
        <v>0.8</v>
      </c>
      <c r="K161" s="19">
        <v>18.044444444444444</v>
      </c>
      <c r="L161" s="19">
        <v>26</v>
      </c>
    </row>
    <row r="162" spans="1:12" s="82" customFormat="1" ht="15.75" x14ac:dyDescent="0.25">
      <c r="A162" s="129"/>
      <c r="B162" s="130" t="s">
        <v>27</v>
      </c>
      <c r="C162" s="87">
        <v>40</v>
      </c>
      <c r="D162" s="10">
        <v>1.32</v>
      </c>
      <c r="E162" s="10">
        <v>0.24</v>
      </c>
      <c r="F162" s="10">
        <v>7.9279999999999999</v>
      </c>
      <c r="G162" s="10">
        <v>39.6</v>
      </c>
      <c r="H162" s="11">
        <v>3.4000000000000002E-2</v>
      </c>
      <c r="I162" s="11"/>
      <c r="J162" s="11">
        <v>0</v>
      </c>
      <c r="K162" s="11">
        <v>5.8</v>
      </c>
      <c r="L162" s="11">
        <v>30</v>
      </c>
    </row>
    <row r="163" spans="1:12" s="82" customFormat="1" ht="15.75" x14ac:dyDescent="0.25">
      <c r="A163" s="89"/>
      <c r="B163" s="88" t="s">
        <v>39</v>
      </c>
      <c r="C163" s="20">
        <f t="shared" ref="C163:L163" si="21">SUM(C156:C162)</f>
        <v>770</v>
      </c>
      <c r="D163" s="27">
        <f t="shared" si="21"/>
        <v>23.415999999999997</v>
      </c>
      <c r="E163" s="27">
        <f t="shared" si="21"/>
        <v>25.533999999999995</v>
      </c>
      <c r="F163" s="27">
        <f t="shared" si="21"/>
        <v>108.38</v>
      </c>
      <c r="G163" s="27">
        <f t="shared" si="21"/>
        <v>745.80000000000007</v>
      </c>
      <c r="H163" s="28">
        <f t="shared" si="21"/>
        <v>0.37</v>
      </c>
      <c r="I163" s="28">
        <f>SUM(I156:I162)</f>
        <v>0.45200000000000001</v>
      </c>
      <c r="J163" s="28">
        <f t="shared" si="21"/>
        <v>19.920000000000002</v>
      </c>
      <c r="K163" s="28">
        <f>SUM(K156:K162)</f>
        <v>340.77444444444444</v>
      </c>
      <c r="L163" s="28">
        <f t="shared" si="21"/>
        <v>497.33000000000004</v>
      </c>
    </row>
    <row r="164" spans="1:12" s="82" customFormat="1" ht="20.25" customHeight="1" x14ac:dyDescent="0.25">
      <c r="A164" s="89"/>
      <c r="B164" s="90" t="s">
        <v>103</v>
      </c>
      <c r="C164" s="20">
        <f t="shared" ref="C164:L164" si="22">C163+C154</f>
        <v>1310</v>
      </c>
      <c r="D164" s="21">
        <f t="shared" si="22"/>
        <v>40.370249999999999</v>
      </c>
      <c r="E164" s="21">
        <f t="shared" si="22"/>
        <v>42.642999999999994</v>
      </c>
      <c r="F164" s="21">
        <f t="shared" si="22"/>
        <v>187.69974999999999</v>
      </c>
      <c r="G164" s="21">
        <f t="shared" si="22"/>
        <v>1249.5</v>
      </c>
      <c r="H164" s="22">
        <f t="shared" si="22"/>
        <v>0.65</v>
      </c>
      <c r="I164" s="22">
        <f t="shared" si="22"/>
        <v>0.8</v>
      </c>
      <c r="J164" s="22">
        <f t="shared" si="22"/>
        <v>34.528000000000006</v>
      </c>
      <c r="K164" s="22">
        <f t="shared" si="22"/>
        <v>583.47444444444443</v>
      </c>
      <c r="L164" s="22">
        <f t="shared" si="22"/>
        <v>889.46500000000003</v>
      </c>
    </row>
    <row r="165" spans="1:12" s="82" customFormat="1" ht="15.75" x14ac:dyDescent="0.25">
      <c r="A165" s="182" t="s">
        <v>104</v>
      </c>
      <c r="B165" s="182"/>
      <c r="C165" s="182"/>
      <c r="D165" s="182"/>
      <c r="E165" s="182"/>
      <c r="F165" s="182"/>
      <c r="G165" s="182"/>
      <c r="H165" s="127"/>
      <c r="I165" s="127"/>
      <c r="J165" s="127"/>
      <c r="K165" s="127"/>
      <c r="L165" s="127"/>
    </row>
    <row r="166" spans="1:12" s="82" customFormat="1" ht="15.75" x14ac:dyDescent="0.25">
      <c r="A166" s="171" t="s">
        <v>16</v>
      </c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</row>
    <row r="167" spans="1:12" s="82" customFormat="1" ht="15.75" x14ac:dyDescent="0.25">
      <c r="A167" s="108"/>
      <c r="B167" s="34" t="s">
        <v>30</v>
      </c>
      <c r="C167" s="33">
        <v>60</v>
      </c>
      <c r="D167" s="11">
        <v>0.66</v>
      </c>
      <c r="E167" s="11">
        <v>0.12</v>
      </c>
      <c r="F167" s="11">
        <v>2.2799999999999998</v>
      </c>
      <c r="G167" s="11">
        <v>14.4</v>
      </c>
      <c r="H167" s="11">
        <v>3.5999999999999997E-2</v>
      </c>
      <c r="I167" s="11">
        <v>0.1</v>
      </c>
      <c r="J167" s="11">
        <v>11</v>
      </c>
      <c r="K167" s="11">
        <v>12.2</v>
      </c>
      <c r="L167" s="11">
        <f>15.6</f>
        <v>15.6</v>
      </c>
    </row>
    <row r="168" spans="1:12" s="82" customFormat="1" ht="15.75" x14ac:dyDescent="0.25">
      <c r="A168" s="106" t="s">
        <v>42</v>
      </c>
      <c r="B168" s="32" t="s">
        <v>43</v>
      </c>
      <c r="C168" s="31">
        <v>140</v>
      </c>
      <c r="D168" s="19">
        <f>16.64-3</f>
        <v>13.64</v>
      </c>
      <c r="E168" s="19">
        <f>20.89-5</f>
        <v>15.89</v>
      </c>
      <c r="F168" s="19">
        <v>19.8</v>
      </c>
      <c r="G168" s="19">
        <f>325-10</f>
        <v>315</v>
      </c>
      <c r="H168" s="19">
        <f>0.25-0.08</f>
        <v>0.16999999999999998</v>
      </c>
      <c r="I168" s="19">
        <v>0.25</v>
      </c>
      <c r="J168" s="19">
        <f>4.78-1.1</f>
        <v>3.68</v>
      </c>
      <c r="K168" s="19">
        <v>142.44999999999999</v>
      </c>
      <c r="L168" s="19">
        <v>283.14999999999998</v>
      </c>
    </row>
    <row r="169" spans="1:12" s="82" customFormat="1" ht="15.75" x14ac:dyDescent="0.25">
      <c r="A169" s="115"/>
      <c r="B169" s="116" t="s">
        <v>105</v>
      </c>
      <c r="C169" s="80">
        <v>30</v>
      </c>
      <c r="D169" s="26">
        <f>5.6*0.3</f>
        <v>1.68</v>
      </c>
      <c r="E169" s="26">
        <f>5*0.3</f>
        <v>1.5</v>
      </c>
      <c r="F169" s="26">
        <f>76.3*0.3</f>
        <v>22.889999999999997</v>
      </c>
      <c r="G169" s="26">
        <f>362*0.3</f>
        <v>108.6</v>
      </c>
      <c r="H169" s="26">
        <f>0.08*0.3</f>
        <v>2.4E-2</v>
      </c>
      <c r="I169" s="26"/>
      <c r="J169" s="26"/>
      <c r="K169" s="26">
        <f>34+15</f>
        <v>49</v>
      </c>
      <c r="L169" s="26">
        <v>41</v>
      </c>
    </row>
    <row r="170" spans="1:12" s="82" customFormat="1" ht="15.75" x14ac:dyDescent="0.25">
      <c r="A170" s="112" t="s">
        <v>45</v>
      </c>
      <c r="B170" s="36" t="s">
        <v>46</v>
      </c>
      <c r="C170" s="37">
        <v>215</v>
      </c>
      <c r="D170" s="48">
        <v>7.0000000000000007E-2</v>
      </c>
      <c r="E170" s="48">
        <v>0.02</v>
      </c>
      <c r="F170" s="48">
        <v>15</v>
      </c>
      <c r="G170" s="48">
        <v>60</v>
      </c>
      <c r="H170" s="48"/>
      <c r="I170" s="48"/>
      <c r="J170" s="48">
        <v>0.03</v>
      </c>
      <c r="K170" s="48">
        <v>11.1</v>
      </c>
      <c r="L170" s="48">
        <v>2.8</v>
      </c>
    </row>
    <row r="171" spans="1:12" s="82" customFormat="1" ht="15.75" x14ac:dyDescent="0.25">
      <c r="A171" s="115"/>
      <c r="B171" s="116" t="s">
        <v>27</v>
      </c>
      <c r="C171" s="80">
        <v>40</v>
      </c>
      <c r="D171" s="11">
        <v>1.32</v>
      </c>
      <c r="E171" s="11">
        <v>0.24</v>
      </c>
      <c r="F171" s="11">
        <v>7.9279999999999999</v>
      </c>
      <c r="G171" s="11">
        <v>39.6</v>
      </c>
      <c r="H171" s="11">
        <v>3.4000000000000002E-2</v>
      </c>
      <c r="I171" s="11"/>
      <c r="J171" s="11">
        <v>0</v>
      </c>
      <c r="K171" s="11">
        <v>5.8</v>
      </c>
      <c r="L171" s="11">
        <v>30</v>
      </c>
    </row>
    <row r="172" spans="1:12" s="82" customFormat="1" ht="15.75" x14ac:dyDescent="0.25">
      <c r="A172" s="115"/>
      <c r="B172" s="83" t="s">
        <v>28</v>
      </c>
      <c r="C172" s="85">
        <f t="shared" ref="C172:L172" si="23">SUM(C167:C171)</f>
        <v>485</v>
      </c>
      <c r="D172" s="28">
        <f t="shared" si="23"/>
        <v>17.37</v>
      </c>
      <c r="E172" s="28">
        <f t="shared" si="23"/>
        <v>17.77</v>
      </c>
      <c r="F172" s="28">
        <f t="shared" si="23"/>
        <v>67.897999999999996</v>
      </c>
      <c r="G172" s="28">
        <f t="shared" si="23"/>
        <v>537.6</v>
      </c>
      <c r="H172" s="28">
        <f t="shared" si="23"/>
        <v>0.26400000000000001</v>
      </c>
      <c r="I172" s="28">
        <f t="shared" si="23"/>
        <v>0.35</v>
      </c>
      <c r="J172" s="28">
        <f t="shared" si="23"/>
        <v>14.709999999999999</v>
      </c>
      <c r="K172" s="28">
        <f t="shared" si="23"/>
        <v>220.54999999999998</v>
      </c>
      <c r="L172" s="28">
        <f t="shared" si="23"/>
        <v>372.55</v>
      </c>
    </row>
    <row r="173" spans="1:12" s="82" customFormat="1" ht="20.25" customHeight="1" x14ac:dyDescent="0.25">
      <c r="A173" s="180" t="s">
        <v>29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</row>
    <row r="174" spans="1:12" s="82" customFormat="1" ht="15.75" x14ac:dyDescent="0.25">
      <c r="A174" s="108"/>
      <c r="B174" s="34" t="s">
        <v>30</v>
      </c>
      <c r="C174" s="33">
        <v>60</v>
      </c>
      <c r="D174" s="11">
        <v>0.66</v>
      </c>
      <c r="E174" s="11">
        <v>0.12</v>
      </c>
      <c r="F174" s="11">
        <v>2.2799999999999998</v>
      </c>
      <c r="G174" s="11">
        <v>14.4</v>
      </c>
      <c r="H174" s="11">
        <v>3.5999999999999997E-2</v>
      </c>
      <c r="I174" s="11">
        <v>0.1</v>
      </c>
      <c r="J174" s="11">
        <v>11</v>
      </c>
      <c r="K174" s="11">
        <v>12.2</v>
      </c>
      <c r="L174" s="11">
        <f>15.6</f>
        <v>15.6</v>
      </c>
    </row>
    <row r="175" spans="1:12" s="82" customFormat="1" ht="15.75" x14ac:dyDescent="0.25">
      <c r="A175" s="115" t="s">
        <v>124</v>
      </c>
      <c r="B175" s="116" t="s">
        <v>125</v>
      </c>
      <c r="C175" s="80">
        <v>250</v>
      </c>
      <c r="D175" s="26">
        <f>10.26*0.2+5</f>
        <v>7.0519999999999996</v>
      </c>
      <c r="E175" s="26">
        <f>22.17*0.2+1</f>
        <v>5.4340000000000002</v>
      </c>
      <c r="F175" s="26">
        <f>46.48*0.2-5</f>
        <v>4.2959999999999994</v>
      </c>
      <c r="G175" s="26">
        <f>463*0.2</f>
        <v>92.600000000000009</v>
      </c>
      <c r="H175" s="26">
        <f>0.2*0.2+0.1</f>
        <v>0.14000000000000001</v>
      </c>
      <c r="I175" s="26">
        <f>0.14*0.2+0.2</f>
        <v>0.22800000000000001</v>
      </c>
      <c r="J175" s="26">
        <f>2*2+1</f>
        <v>5</v>
      </c>
      <c r="K175" s="26">
        <f>114*0.2+100</f>
        <v>122.8</v>
      </c>
      <c r="L175" s="26">
        <f>154*0.2+150</f>
        <v>180.8</v>
      </c>
    </row>
    <row r="176" spans="1:12" s="82" customFormat="1" ht="15.75" x14ac:dyDescent="0.25">
      <c r="A176" s="115" t="s">
        <v>126</v>
      </c>
      <c r="B176" s="116" t="s">
        <v>127</v>
      </c>
      <c r="C176" s="80">
        <v>90</v>
      </c>
      <c r="D176" s="26">
        <f>7.65+3</f>
        <v>10.65</v>
      </c>
      <c r="E176" s="26">
        <f>14.7</f>
        <v>14.7</v>
      </c>
      <c r="F176" s="26">
        <f>7.73-3</f>
        <v>4.7300000000000004</v>
      </c>
      <c r="G176" s="26">
        <f>194</f>
        <v>194</v>
      </c>
      <c r="H176" s="26">
        <f>0.05+0.02</f>
        <v>7.0000000000000007E-2</v>
      </c>
      <c r="I176" s="26">
        <f>0.08</f>
        <v>0.08</v>
      </c>
      <c r="J176" s="26">
        <f>0.52/55*90</f>
        <v>0.85090909090909095</v>
      </c>
      <c r="K176" s="26">
        <f>27.77</f>
        <v>27.77</v>
      </c>
      <c r="L176" s="26">
        <f>48.77/50*90+50</f>
        <v>137.786</v>
      </c>
    </row>
    <row r="177" spans="1:15" s="82" customFormat="1" ht="15.75" x14ac:dyDescent="0.25">
      <c r="A177" s="115" t="s">
        <v>88</v>
      </c>
      <c r="B177" s="116" t="s">
        <v>89</v>
      </c>
      <c r="C177" s="80">
        <v>150</v>
      </c>
      <c r="D177" s="26">
        <f>24.34*0.15</f>
        <v>3.6509999999999998</v>
      </c>
      <c r="E177" s="26">
        <f>35.83*0.15</f>
        <v>5.3744999999999994</v>
      </c>
      <c r="F177" s="26">
        <f>244.56*0.15</f>
        <v>36.683999999999997</v>
      </c>
      <c r="G177" s="26">
        <f>1396*0.15</f>
        <v>209.4</v>
      </c>
      <c r="H177" s="26">
        <f>0.17*0.15</f>
        <v>2.5500000000000002E-2</v>
      </c>
      <c r="I177" s="26">
        <f>0.13*0.15</f>
        <v>1.95E-2</v>
      </c>
      <c r="J177" s="26"/>
      <c r="K177" s="26">
        <v>91</v>
      </c>
      <c r="L177" s="26">
        <f>406.3*0.15+40</f>
        <v>100.94499999999999</v>
      </c>
    </row>
    <row r="178" spans="1:15" s="82" customFormat="1" ht="15.75" x14ac:dyDescent="0.25">
      <c r="A178" s="115" t="s">
        <v>36</v>
      </c>
      <c r="B178" s="34" t="s">
        <v>37</v>
      </c>
      <c r="C178" s="33">
        <v>200</v>
      </c>
      <c r="D178" s="11">
        <f>0.8*0.2</f>
        <v>0.16000000000000003</v>
      </c>
      <c r="E178" s="11">
        <f>0.8*0.2</f>
        <v>0.16000000000000003</v>
      </c>
      <c r="F178" s="11">
        <f>139*0.2</f>
        <v>27.8</v>
      </c>
      <c r="G178" s="11">
        <f>573*0.2</f>
        <v>114.60000000000001</v>
      </c>
      <c r="H178" s="11">
        <f>0.06*0.2</f>
        <v>1.2E-2</v>
      </c>
      <c r="I178" s="11">
        <f>0.04*0.2</f>
        <v>8.0000000000000002E-3</v>
      </c>
      <c r="J178" s="11">
        <f>4.5*0.2</f>
        <v>0.9</v>
      </c>
      <c r="K178" s="11">
        <v>91</v>
      </c>
      <c r="L178" s="11">
        <f>22*0.2</f>
        <v>4.4000000000000004</v>
      </c>
    </row>
    <row r="179" spans="1:15" s="82" customFormat="1" ht="15.75" x14ac:dyDescent="0.25">
      <c r="A179" s="115"/>
      <c r="B179" s="116" t="s">
        <v>38</v>
      </c>
      <c r="C179" s="80">
        <v>20</v>
      </c>
      <c r="D179" s="19">
        <v>3.2</v>
      </c>
      <c r="E179" s="19">
        <v>0.79</v>
      </c>
      <c r="F179" s="19">
        <v>29.68</v>
      </c>
      <c r="G179" s="19">
        <v>104</v>
      </c>
      <c r="H179" s="19">
        <v>6.2000000000000006E-2</v>
      </c>
      <c r="I179" s="19"/>
      <c r="J179" s="19">
        <v>0.8</v>
      </c>
      <c r="K179" s="19">
        <v>18.044444444444444</v>
      </c>
      <c r="L179" s="19">
        <v>26</v>
      </c>
    </row>
    <row r="180" spans="1:15" s="82" customFormat="1" ht="15.75" x14ac:dyDescent="0.25">
      <c r="A180" s="115"/>
      <c r="B180" s="116" t="s">
        <v>27</v>
      </c>
      <c r="C180" s="80">
        <v>40</v>
      </c>
      <c r="D180" s="11">
        <v>1.32</v>
      </c>
      <c r="E180" s="11">
        <v>0.24</v>
      </c>
      <c r="F180" s="11">
        <v>7.9279999999999999</v>
      </c>
      <c r="G180" s="11">
        <v>39.6</v>
      </c>
      <c r="H180" s="11">
        <v>3.4000000000000002E-2</v>
      </c>
      <c r="I180" s="11"/>
      <c r="J180" s="11">
        <v>0</v>
      </c>
      <c r="K180" s="11">
        <v>5.8</v>
      </c>
      <c r="L180" s="11">
        <v>30</v>
      </c>
    </row>
    <row r="181" spans="1:15" s="82" customFormat="1" ht="15.75" x14ac:dyDescent="0.25">
      <c r="A181" s="134"/>
      <c r="B181" s="126" t="s">
        <v>39</v>
      </c>
      <c r="C181" s="85">
        <f t="shared" ref="C181:L181" si="24">SUM(C174:C180)</f>
        <v>810</v>
      </c>
      <c r="D181" s="28">
        <f>SUM(D174:D180)</f>
        <v>26.693000000000001</v>
      </c>
      <c r="E181" s="28">
        <f t="shared" si="24"/>
        <v>26.818499999999993</v>
      </c>
      <c r="F181" s="28">
        <f t="shared" si="24"/>
        <v>113.398</v>
      </c>
      <c r="G181" s="28">
        <f t="shared" si="24"/>
        <v>768.6</v>
      </c>
      <c r="H181" s="28">
        <f t="shared" si="24"/>
        <v>0.37950000000000006</v>
      </c>
      <c r="I181" s="28">
        <f t="shared" si="24"/>
        <v>0.43550000000000005</v>
      </c>
      <c r="J181" s="28">
        <f t="shared" si="24"/>
        <v>18.550909090909091</v>
      </c>
      <c r="K181" s="28">
        <f t="shared" si="24"/>
        <v>368.61444444444442</v>
      </c>
      <c r="L181" s="28">
        <f t="shared" si="24"/>
        <v>495.53100000000001</v>
      </c>
      <c r="M181" s="91"/>
      <c r="N181" s="91"/>
      <c r="O181" s="91"/>
    </row>
    <row r="182" spans="1:15" s="82" customFormat="1" ht="20.25" customHeight="1" x14ac:dyDescent="0.25">
      <c r="A182" s="92"/>
      <c r="B182" s="84" t="s">
        <v>110</v>
      </c>
      <c r="C182" s="85">
        <f>C221+C172</f>
        <v>1345</v>
      </c>
      <c r="D182" s="22">
        <f>D172+D181</f>
        <v>44.063000000000002</v>
      </c>
      <c r="E182" s="22">
        <f t="shared" ref="E182:L182" si="25">E172+E181</f>
        <v>44.588499999999996</v>
      </c>
      <c r="F182" s="22">
        <f t="shared" si="25"/>
        <v>181.29599999999999</v>
      </c>
      <c r="G182" s="22">
        <f t="shared" si="25"/>
        <v>1306.2</v>
      </c>
      <c r="H182" s="22">
        <f t="shared" si="25"/>
        <v>0.64350000000000007</v>
      </c>
      <c r="I182" s="22">
        <f t="shared" si="25"/>
        <v>0.78550000000000009</v>
      </c>
      <c r="J182" s="22">
        <f t="shared" si="25"/>
        <v>33.260909090909088</v>
      </c>
      <c r="K182" s="22">
        <f t="shared" si="25"/>
        <v>589.16444444444437</v>
      </c>
      <c r="L182" s="22">
        <f t="shared" si="25"/>
        <v>868.08100000000002</v>
      </c>
    </row>
    <row r="183" spans="1:15" s="91" customFormat="1" ht="15.75" x14ac:dyDescent="0.25">
      <c r="A183" s="179" t="s">
        <v>111</v>
      </c>
      <c r="B183" s="179"/>
      <c r="C183" s="179"/>
      <c r="D183" s="179"/>
      <c r="E183" s="179"/>
      <c r="F183" s="179"/>
      <c r="G183" s="179"/>
      <c r="H183" s="127"/>
      <c r="I183" s="127"/>
      <c r="J183" s="127"/>
      <c r="K183" s="127"/>
      <c r="L183" s="127"/>
      <c r="M183" s="82"/>
      <c r="N183" s="82"/>
      <c r="O183" s="82"/>
    </row>
    <row r="184" spans="1:15" s="82" customFormat="1" ht="15.75" x14ac:dyDescent="0.25">
      <c r="A184" s="180" t="s">
        <v>16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</row>
    <row r="185" spans="1:15" s="82" customFormat="1" ht="15.75" x14ac:dyDescent="0.25">
      <c r="A185" s="108"/>
      <c r="B185" s="34" t="s">
        <v>30</v>
      </c>
      <c r="C185" s="33">
        <v>60</v>
      </c>
      <c r="D185" s="11">
        <v>0.66</v>
      </c>
      <c r="E185" s="11">
        <v>0.12</v>
      </c>
      <c r="F185" s="11">
        <v>2.2799999999999998</v>
      </c>
      <c r="G185" s="11">
        <v>14.4</v>
      </c>
      <c r="H185" s="11">
        <v>3.5999999999999997E-2</v>
      </c>
      <c r="I185" s="11">
        <v>0.1</v>
      </c>
      <c r="J185" s="11">
        <v>11</v>
      </c>
      <c r="K185" s="11">
        <v>12.2</v>
      </c>
      <c r="L185" s="11">
        <f>15.6</f>
        <v>15.6</v>
      </c>
    </row>
    <row r="186" spans="1:15" s="82" customFormat="1" ht="15.75" x14ac:dyDescent="0.25">
      <c r="A186" s="114" t="s">
        <v>19</v>
      </c>
      <c r="B186" s="94" t="s">
        <v>20</v>
      </c>
      <c r="C186" s="93">
        <v>15</v>
      </c>
      <c r="D186" s="19">
        <v>4</v>
      </c>
      <c r="E186" s="19">
        <v>3.9</v>
      </c>
      <c r="F186" s="19">
        <v>0</v>
      </c>
      <c r="G186" s="19">
        <v>54</v>
      </c>
      <c r="H186" s="19">
        <v>5.0000000000000001E-3</v>
      </c>
      <c r="I186" s="19">
        <v>0.09</v>
      </c>
      <c r="J186" s="19">
        <v>0.1</v>
      </c>
      <c r="K186" s="19">
        <f>132-50</f>
        <v>82</v>
      </c>
      <c r="L186" s="19">
        <v>75</v>
      </c>
    </row>
    <row r="187" spans="1:15" s="82" customFormat="1" ht="31.5" x14ac:dyDescent="0.25">
      <c r="A187" s="115" t="s">
        <v>112</v>
      </c>
      <c r="B187" s="116" t="s">
        <v>113</v>
      </c>
      <c r="C187" s="80">
        <v>90</v>
      </c>
      <c r="D187" s="19">
        <f>5.83</f>
        <v>5.83</v>
      </c>
      <c r="E187" s="19">
        <v>8.75</v>
      </c>
      <c r="F187" s="19">
        <f>10.25+6</f>
        <v>16.25</v>
      </c>
      <c r="G187" s="19">
        <v>151</v>
      </c>
      <c r="H187" s="19">
        <v>0.16</v>
      </c>
      <c r="I187" s="19"/>
      <c r="J187" s="19">
        <v>0.72</v>
      </c>
      <c r="K187" s="19">
        <f>27.95+60</f>
        <v>87.95</v>
      </c>
      <c r="L187" s="19">
        <f>88.37+70</f>
        <v>158.37</v>
      </c>
    </row>
    <row r="188" spans="1:15" s="82" customFormat="1" ht="15.75" x14ac:dyDescent="0.25">
      <c r="A188" s="115" t="s">
        <v>70</v>
      </c>
      <c r="B188" s="116" t="s">
        <v>71</v>
      </c>
      <c r="C188" s="80">
        <v>150</v>
      </c>
      <c r="D188" s="11">
        <f>36.78*0.15</f>
        <v>5.5170000000000003</v>
      </c>
      <c r="E188" s="11">
        <f>30.1*0.15</f>
        <v>4.5149999999999997</v>
      </c>
      <c r="F188" s="11">
        <f>176.3*0.15</f>
        <v>26.445</v>
      </c>
      <c r="G188" s="11">
        <f>1123*0.15</f>
        <v>168.45</v>
      </c>
      <c r="H188" s="11">
        <f>0.17*0.15</f>
        <v>2.5500000000000002E-2</v>
      </c>
      <c r="I188" s="11">
        <f>1.18*0.15-0.02</f>
        <v>0.157</v>
      </c>
      <c r="J188" s="11"/>
      <c r="K188" s="11">
        <f>32.4*0.8</f>
        <v>25.92</v>
      </c>
      <c r="L188" s="11">
        <f>247.8*0.15+10</f>
        <v>47.17</v>
      </c>
    </row>
    <row r="189" spans="1:15" s="82" customFormat="1" ht="15.75" x14ac:dyDescent="0.25">
      <c r="A189" s="111" t="s">
        <v>25</v>
      </c>
      <c r="B189" s="36" t="s">
        <v>26</v>
      </c>
      <c r="C189" s="37">
        <v>222</v>
      </c>
      <c r="D189" s="19">
        <v>0.13</v>
      </c>
      <c r="E189" s="19">
        <v>0.02</v>
      </c>
      <c r="F189" s="19">
        <v>15.2</v>
      </c>
      <c r="G189" s="19">
        <v>62</v>
      </c>
      <c r="H189" s="19"/>
      <c r="I189" s="19"/>
      <c r="J189" s="19">
        <v>2.83</v>
      </c>
      <c r="K189" s="19">
        <v>14.2</v>
      </c>
      <c r="L189" s="19">
        <v>4.4000000000000004</v>
      </c>
    </row>
    <row r="190" spans="1:15" s="82" customFormat="1" ht="23.25" customHeight="1" x14ac:dyDescent="0.25">
      <c r="A190" s="115"/>
      <c r="B190" s="116" t="s">
        <v>27</v>
      </c>
      <c r="C190" s="80">
        <v>40</v>
      </c>
      <c r="D190" s="11">
        <v>1.32</v>
      </c>
      <c r="E190" s="11">
        <v>0.24</v>
      </c>
      <c r="F190" s="11">
        <v>7.9279999999999999</v>
      </c>
      <c r="G190" s="11">
        <v>39.6</v>
      </c>
      <c r="H190" s="11">
        <v>3.4000000000000002E-2</v>
      </c>
      <c r="I190" s="11"/>
      <c r="J190" s="11">
        <v>0</v>
      </c>
      <c r="K190" s="11">
        <v>5.8</v>
      </c>
      <c r="L190" s="11">
        <v>30</v>
      </c>
    </row>
    <row r="191" spans="1:15" s="82" customFormat="1" ht="15.75" x14ac:dyDescent="0.25">
      <c r="A191" s="115"/>
      <c r="B191" s="83" t="s">
        <v>28</v>
      </c>
      <c r="C191" s="85">
        <f t="shared" ref="C191:L191" si="26">SUM(C185:C190)</f>
        <v>577</v>
      </c>
      <c r="D191" s="28">
        <f>SUM(D185:D190)</f>
        <v>17.457000000000001</v>
      </c>
      <c r="E191" s="28">
        <f t="shared" si="26"/>
        <v>17.544999999999998</v>
      </c>
      <c r="F191" s="28">
        <f t="shared" si="26"/>
        <v>68.102999999999994</v>
      </c>
      <c r="G191" s="28">
        <f t="shared" si="26"/>
        <v>489.45000000000005</v>
      </c>
      <c r="H191" s="28">
        <f t="shared" si="26"/>
        <v>0.26050000000000001</v>
      </c>
      <c r="I191" s="28">
        <f>SUM(I185:I190)</f>
        <v>0.34699999999999998</v>
      </c>
      <c r="J191" s="28">
        <f t="shared" si="26"/>
        <v>14.65</v>
      </c>
      <c r="K191" s="28">
        <f t="shared" si="26"/>
        <v>228.07</v>
      </c>
      <c r="L191" s="28">
        <f t="shared" si="26"/>
        <v>330.53999999999996</v>
      </c>
    </row>
    <row r="192" spans="1:15" s="82" customFormat="1" ht="20.25" customHeight="1" x14ac:dyDescent="0.25">
      <c r="A192" s="180" t="s">
        <v>29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</row>
    <row r="193" spans="1:15" s="82" customFormat="1" ht="15.75" x14ac:dyDescent="0.25">
      <c r="A193" s="108"/>
      <c r="B193" s="34" t="s">
        <v>30</v>
      </c>
      <c r="C193" s="33">
        <v>60</v>
      </c>
      <c r="D193" s="11">
        <v>0.66</v>
      </c>
      <c r="E193" s="11">
        <v>0.12</v>
      </c>
      <c r="F193" s="11">
        <v>2.2799999999999998</v>
      </c>
      <c r="G193" s="11">
        <v>14.4</v>
      </c>
      <c r="H193" s="11">
        <v>3.5999999999999997E-2</v>
      </c>
      <c r="I193" s="11">
        <v>0.1</v>
      </c>
      <c r="J193" s="11">
        <v>11</v>
      </c>
      <c r="K193" s="11">
        <v>12.2</v>
      </c>
      <c r="L193" s="11">
        <f>15.6</f>
        <v>15.6</v>
      </c>
    </row>
    <row r="194" spans="1:15" s="82" customFormat="1" ht="15.75" x14ac:dyDescent="0.25">
      <c r="A194" s="115" t="s">
        <v>114</v>
      </c>
      <c r="B194" s="116" t="s">
        <v>115</v>
      </c>
      <c r="C194" s="80">
        <v>200</v>
      </c>
      <c r="D194" s="11">
        <f>7.89*0.2+2</f>
        <v>3.5780000000000003</v>
      </c>
      <c r="E194" s="11">
        <f>10.85*0.2</f>
        <v>2.17</v>
      </c>
      <c r="F194" s="11">
        <f>48.45*0.2</f>
        <v>9.6900000000000013</v>
      </c>
      <c r="G194" s="11">
        <f>343*0.2</f>
        <v>68.600000000000009</v>
      </c>
      <c r="H194" s="11">
        <f>0.36*0.2</f>
        <v>7.1999999999999995E-2</v>
      </c>
      <c r="I194" s="11">
        <f>0.22*0.2</f>
        <v>4.4000000000000004E-2</v>
      </c>
      <c r="J194" s="11"/>
      <c r="K194" s="11">
        <f>106.8</f>
        <v>106.8</v>
      </c>
      <c r="L194" s="11">
        <f>223.9</f>
        <v>223.9</v>
      </c>
    </row>
    <row r="195" spans="1:15" s="82" customFormat="1" ht="15.75" x14ac:dyDescent="0.25">
      <c r="A195" s="115" t="s">
        <v>116</v>
      </c>
      <c r="B195" s="116" t="s">
        <v>117</v>
      </c>
      <c r="C195" s="80">
        <v>200</v>
      </c>
      <c r="D195" s="26">
        <f>12.3+4</f>
        <v>16.3</v>
      </c>
      <c r="E195" s="26">
        <f>29.5-8</f>
        <v>21.5</v>
      </c>
      <c r="F195" s="26">
        <v>16.579999999999998</v>
      </c>
      <c r="G195" s="26">
        <v>383</v>
      </c>
      <c r="H195" s="26">
        <f>0.37-0.26</f>
        <v>0.10999999999999999</v>
      </c>
      <c r="I195" s="26">
        <f>0.25</f>
        <v>0.25</v>
      </c>
      <c r="J195" s="26"/>
      <c r="K195" s="26">
        <f>28.69+70</f>
        <v>98.69</v>
      </c>
      <c r="L195" s="26">
        <f>180.22+20</f>
        <v>200.22</v>
      </c>
    </row>
    <row r="196" spans="1:15" s="82" customFormat="1" ht="15.75" x14ac:dyDescent="0.25">
      <c r="A196" s="115" t="s">
        <v>36</v>
      </c>
      <c r="B196" s="34" t="s">
        <v>37</v>
      </c>
      <c r="C196" s="33">
        <v>200</v>
      </c>
      <c r="D196" s="11">
        <f>0.8*0.2</f>
        <v>0.16000000000000003</v>
      </c>
      <c r="E196" s="11">
        <f>0.8*0.2</f>
        <v>0.16000000000000003</v>
      </c>
      <c r="F196" s="11">
        <f>139*0.2</f>
        <v>27.8</v>
      </c>
      <c r="G196" s="11">
        <f>573*0.2</f>
        <v>114.60000000000001</v>
      </c>
      <c r="H196" s="11">
        <f>0.06*0.2</f>
        <v>1.2E-2</v>
      </c>
      <c r="I196" s="11">
        <f>0.04*0.2</f>
        <v>8.0000000000000002E-3</v>
      </c>
      <c r="J196" s="11">
        <f>4.5*0.2</f>
        <v>0.9</v>
      </c>
      <c r="K196" s="11">
        <v>91</v>
      </c>
      <c r="L196" s="11">
        <f>22*0.2</f>
        <v>4.4000000000000004</v>
      </c>
    </row>
    <row r="197" spans="1:15" s="82" customFormat="1" ht="15.75" x14ac:dyDescent="0.25">
      <c r="A197" s="107" t="s">
        <v>23</v>
      </c>
      <c r="B197" s="34" t="s">
        <v>24</v>
      </c>
      <c r="C197" s="33">
        <v>100</v>
      </c>
      <c r="D197" s="11">
        <v>0.4</v>
      </c>
      <c r="E197" s="11">
        <v>0.2</v>
      </c>
      <c r="F197" s="11">
        <v>9.8000000000000007</v>
      </c>
      <c r="G197" s="11">
        <v>47</v>
      </c>
      <c r="H197" s="11">
        <v>0.04</v>
      </c>
      <c r="I197" s="11">
        <v>0.05</v>
      </c>
      <c r="J197" s="11">
        <f>10-3</f>
        <v>7</v>
      </c>
      <c r="K197" s="11">
        <f>16+10</f>
        <v>26</v>
      </c>
      <c r="L197" s="11">
        <v>11</v>
      </c>
    </row>
    <row r="198" spans="1:15" s="82" customFormat="1" ht="15.75" x14ac:dyDescent="0.25">
      <c r="A198" s="115"/>
      <c r="B198" s="116" t="s">
        <v>38</v>
      </c>
      <c r="C198" s="80">
        <v>20</v>
      </c>
      <c r="D198" s="19">
        <v>3.2</v>
      </c>
      <c r="E198" s="19">
        <v>0.79</v>
      </c>
      <c r="F198" s="19">
        <v>29.68</v>
      </c>
      <c r="G198" s="19">
        <v>104</v>
      </c>
      <c r="H198" s="19">
        <v>6.2000000000000006E-2</v>
      </c>
      <c r="I198" s="19"/>
      <c r="J198" s="19">
        <v>0.8</v>
      </c>
      <c r="K198" s="19">
        <v>18.044444444444444</v>
      </c>
      <c r="L198" s="19">
        <v>26</v>
      </c>
    </row>
    <row r="199" spans="1:15" s="82" customFormat="1" ht="15.75" x14ac:dyDescent="0.25">
      <c r="A199" s="115"/>
      <c r="B199" s="116" t="s">
        <v>27</v>
      </c>
      <c r="C199" s="80">
        <v>40</v>
      </c>
      <c r="D199" s="11">
        <v>1.32</v>
      </c>
      <c r="E199" s="11">
        <v>0.24</v>
      </c>
      <c r="F199" s="11">
        <v>7.9279999999999999</v>
      </c>
      <c r="G199" s="11">
        <v>39.6</v>
      </c>
      <c r="H199" s="11">
        <v>3.4000000000000002E-2</v>
      </c>
      <c r="I199" s="11"/>
      <c r="J199" s="11">
        <v>0</v>
      </c>
      <c r="K199" s="11">
        <v>5.8</v>
      </c>
      <c r="L199" s="11">
        <v>30</v>
      </c>
    </row>
    <row r="200" spans="1:15" s="82" customFormat="1" ht="15.75" x14ac:dyDescent="0.25">
      <c r="A200" s="115"/>
      <c r="B200" s="83" t="s">
        <v>39</v>
      </c>
      <c r="C200" s="85">
        <f t="shared" ref="C200:L200" si="27">SUM(C193:C199)</f>
        <v>820</v>
      </c>
      <c r="D200" s="28">
        <f>SUM(D193:D199)</f>
        <v>25.617999999999999</v>
      </c>
      <c r="E200" s="28">
        <f t="shared" si="27"/>
        <v>25.179999999999996</v>
      </c>
      <c r="F200" s="28">
        <f t="shared" si="27"/>
        <v>103.75799999999998</v>
      </c>
      <c r="G200" s="28">
        <f t="shared" si="27"/>
        <v>771.2</v>
      </c>
      <c r="H200" s="28">
        <f>SUM(H193:H199)</f>
        <v>0.36599999999999999</v>
      </c>
      <c r="I200" s="28">
        <f>SUM(I193:I199)</f>
        <v>0.45200000000000001</v>
      </c>
      <c r="J200" s="28">
        <f t="shared" si="27"/>
        <v>19.7</v>
      </c>
      <c r="K200" s="28">
        <f t="shared" si="27"/>
        <v>358.53444444444443</v>
      </c>
      <c r="L200" s="28">
        <f t="shared" si="27"/>
        <v>511.12</v>
      </c>
    </row>
    <row r="201" spans="1:15" s="82" customFormat="1" ht="20.25" customHeight="1" x14ac:dyDescent="0.25">
      <c r="A201" s="115"/>
      <c r="B201" s="84" t="s">
        <v>118</v>
      </c>
      <c r="C201" s="85">
        <f t="shared" ref="C201:L201" si="28">C200+C191</f>
        <v>1397</v>
      </c>
      <c r="D201" s="22">
        <f t="shared" si="28"/>
        <v>43.075000000000003</v>
      </c>
      <c r="E201" s="22">
        <f t="shared" si="28"/>
        <v>42.724999999999994</v>
      </c>
      <c r="F201" s="22">
        <f t="shared" si="28"/>
        <v>171.86099999999999</v>
      </c>
      <c r="G201" s="22">
        <f t="shared" si="28"/>
        <v>1260.6500000000001</v>
      </c>
      <c r="H201" s="22">
        <f t="shared" si="28"/>
        <v>0.62650000000000006</v>
      </c>
      <c r="I201" s="22">
        <f t="shared" si="28"/>
        <v>0.79899999999999993</v>
      </c>
      <c r="J201" s="22">
        <f t="shared" si="28"/>
        <v>34.35</v>
      </c>
      <c r="K201" s="22">
        <f t="shared" si="28"/>
        <v>586.60444444444443</v>
      </c>
      <c r="L201" s="22">
        <f t="shared" si="28"/>
        <v>841.66</v>
      </c>
    </row>
    <row r="202" spans="1:15" s="82" customFormat="1" ht="15.75" x14ac:dyDescent="0.25">
      <c r="A202" s="179" t="s">
        <v>119</v>
      </c>
      <c r="B202" s="179"/>
      <c r="C202" s="179"/>
      <c r="D202" s="179"/>
      <c r="E202" s="179"/>
      <c r="F202" s="179"/>
      <c r="G202" s="179"/>
      <c r="H202" s="127"/>
      <c r="I202" s="127"/>
      <c r="J202" s="127"/>
      <c r="K202" s="127"/>
      <c r="L202" s="127"/>
    </row>
    <row r="203" spans="1:15" s="82" customFormat="1" ht="15.75" x14ac:dyDescent="0.25">
      <c r="A203" s="180" t="s">
        <v>16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</row>
    <row r="204" spans="1:15" s="82" customFormat="1" ht="15.75" x14ac:dyDescent="0.25">
      <c r="A204" s="115" t="s">
        <v>120</v>
      </c>
      <c r="B204" s="116" t="s">
        <v>121</v>
      </c>
      <c r="C204" s="80">
        <v>200</v>
      </c>
      <c r="D204" s="11">
        <v>6.08</v>
      </c>
      <c r="E204" s="11">
        <f>11.18-9</f>
        <v>2.1799999999999997</v>
      </c>
      <c r="F204" s="11">
        <f>33.48-4</f>
        <v>29.479999999999997</v>
      </c>
      <c r="G204" s="11">
        <f>260-120</f>
        <v>140</v>
      </c>
      <c r="H204" s="11">
        <v>0.1</v>
      </c>
      <c r="I204" s="11"/>
      <c r="J204" s="11">
        <f>0.96+4</f>
        <v>4.96</v>
      </c>
      <c r="K204" s="11">
        <f>133.38-100</f>
        <v>33.379999999999995</v>
      </c>
      <c r="L204" s="11">
        <f>156.72-40</f>
        <v>116.72</v>
      </c>
    </row>
    <row r="205" spans="1:15" s="82" customFormat="1" ht="15.75" x14ac:dyDescent="0.25">
      <c r="A205" s="120" t="s">
        <v>21</v>
      </c>
      <c r="B205" s="121" t="s">
        <v>122</v>
      </c>
      <c r="C205" s="42">
        <v>50</v>
      </c>
      <c r="D205" s="15">
        <v>2.91</v>
      </c>
      <c r="E205" s="15">
        <f>10.69-9</f>
        <v>1.6899999999999995</v>
      </c>
      <c r="F205" s="15">
        <f>21.05-5</f>
        <v>16.05</v>
      </c>
      <c r="G205" s="15">
        <f>192-80</f>
        <v>112</v>
      </c>
      <c r="H205" s="15">
        <v>0.04</v>
      </c>
      <c r="I205" s="15" t="s">
        <v>123</v>
      </c>
      <c r="J205" s="15">
        <v>0.03</v>
      </c>
      <c r="K205" s="15">
        <v>9.1999999999999993</v>
      </c>
      <c r="L205" s="15">
        <v>28.1</v>
      </c>
      <c r="M205" s="50"/>
      <c r="N205" s="50"/>
      <c r="O205" s="50"/>
    </row>
    <row r="206" spans="1:15" s="82" customFormat="1" ht="15.75" x14ac:dyDescent="0.25">
      <c r="A206" s="108">
        <v>14</v>
      </c>
      <c r="B206" s="34" t="s">
        <v>18</v>
      </c>
      <c r="C206" s="33">
        <v>10</v>
      </c>
      <c r="D206" s="11">
        <v>0.08</v>
      </c>
      <c r="E206" s="11">
        <f>7.25-1</f>
        <v>6.25</v>
      </c>
      <c r="F206" s="11">
        <v>0.13</v>
      </c>
      <c r="G206" s="11">
        <v>66.09</v>
      </c>
      <c r="H206" s="11"/>
      <c r="I206" s="11">
        <v>0.01</v>
      </c>
      <c r="J206" s="11"/>
      <c r="K206" s="11">
        <v>2.4</v>
      </c>
      <c r="L206" s="11">
        <v>3</v>
      </c>
    </row>
    <row r="207" spans="1:15" s="50" customFormat="1" ht="15.75" x14ac:dyDescent="0.25">
      <c r="A207" s="114" t="s">
        <v>19</v>
      </c>
      <c r="B207" s="94" t="s">
        <v>20</v>
      </c>
      <c r="C207" s="93">
        <v>15</v>
      </c>
      <c r="D207" s="19">
        <v>4</v>
      </c>
      <c r="E207" s="19">
        <v>3.9</v>
      </c>
      <c r="F207" s="19">
        <v>0</v>
      </c>
      <c r="G207" s="19">
        <v>54</v>
      </c>
      <c r="H207" s="19">
        <v>5.0000000000000001E-3</v>
      </c>
      <c r="I207" s="19">
        <v>0.09</v>
      </c>
      <c r="J207" s="19">
        <v>0.1</v>
      </c>
      <c r="K207" s="19">
        <f>132-50</f>
        <v>82</v>
      </c>
      <c r="L207" s="19">
        <v>75</v>
      </c>
      <c r="M207" s="82"/>
      <c r="N207" s="82"/>
      <c r="O207" s="82"/>
    </row>
    <row r="208" spans="1:15" s="82" customFormat="1" ht="15.75" x14ac:dyDescent="0.25">
      <c r="A208" s="115" t="s">
        <v>97</v>
      </c>
      <c r="B208" s="116" t="s">
        <v>98</v>
      </c>
      <c r="C208" s="95">
        <v>200</v>
      </c>
      <c r="D208" s="11">
        <f>20.39*0.2</f>
        <v>4.0780000000000003</v>
      </c>
      <c r="E208" s="11">
        <f>17.72*0.2</f>
        <v>3.544</v>
      </c>
      <c r="F208" s="11">
        <f>87.89*0.2</f>
        <v>17.577999999999999</v>
      </c>
      <c r="G208" s="11">
        <f>593*0.2</f>
        <v>118.60000000000001</v>
      </c>
      <c r="H208" s="11">
        <f>0.28*0.2</f>
        <v>5.6000000000000008E-2</v>
      </c>
      <c r="I208" s="11">
        <f>0.94*0.2</f>
        <v>0.188</v>
      </c>
      <c r="J208" s="11">
        <f>7.94*0.2</f>
        <v>1.5880000000000001</v>
      </c>
      <c r="K208" s="11">
        <f>761.1*0.2-36</f>
        <v>116.22</v>
      </c>
      <c r="L208" s="11">
        <f>622.8*0.2</f>
        <v>124.56</v>
      </c>
    </row>
    <row r="209" spans="1:15" s="82" customFormat="1" ht="15.75" x14ac:dyDescent="0.25">
      <c r="A209" s="107" t="s">
        <v>23</v>
      </c>
      <c r="B209" s="34" t="s">
        <v>24</v>
      </c>
      <c r="C209" s="33">
        <v>100</v>
      </c>
      <c r="D209" s="11">
        <v>0.4</v>
      </c>
      <c r="E209" s="11">
        <v>0.2</v>
      </c>
      <c r="F209" s="11">
        <v>9.8000000000000007</v>
      </c>
      <c r="G209" s="11">
        <v>47</v>
      </c>
      <c r="H209" s="11">
        <v>0.04</v>
      </c>
      <c r="I209" s="11">
        <v>0.05</v>
      </c>
      <c r="J209" s="11">
        <f>10-3</f>
        <v>7</v>
      </c>
      <c r="K209" s="11">
        <f>16+10</f>
        <v>26</v>
      </c>
      <c r="L209" s="11">
        <v>11</v>
      </c>
    </row>
    <row r="210" spans="1:15" s="82" customFormat="1" ht="15.75" x14ac:dyDescent="0.25">
      <c r="A210" s="115"/>
      <c r="B210" s="116" t="s">
        <v>27</v>
      </c>
      <c r="C210" s="80">
        <v>40</v>
      </c>
      <c r="D210" s="11">
        <v>1.32</v>
      </c>
      <c r="E210" s="11">
        <v>0.24</v>
      </c>
      <c r="F210" s="11">
        <v>7.9279999999999999</v>
      </c>
      <c r="G210" s="11">
        <v>39.6</v>
      </c>
      <c r="H210" s="11">
        <v>3.4000000000000002E-2</v>
      </c>
      <c r="I210" s="11"/>
      <c r="J210" s="11">
        <v>0</v>
      </c>
      <c r="K210" s="11">
        <v>5.8</v>
      </c>
      <c r="L210" s="11">
        <v>30</v>
      </c>
    </row>
    <row r="211" spans="1:15" s="82" customFormat="1" ht="15.75" x14ac:dyDescent="0.25">
      <c r="A211" s="115"/>
      <c r="B211" s="83" t="s">
        <v>28</v>
      </c>
      <c r="C211" s="85">
        <f t="shared" ref="C211:L211" si="29">SUM(C204:C210)</f>
        <v>615</v>
      </c>
      <c r="D211" s="28">
        <f t="shared" si="29"/>
        <v>18.867999999999999</v>
      </c>
      <c r="E211" s="28">
        <f t="shared" si="29"/>
        <v>18.003999999999998</v>
      </c>
      <c r="F211" s="28">
        <f t="shared" si="29"/>
        <v>80.965999999999994</v>
      </c>
      <c r="G211" s="28">
        <f t="shared" si="29"/>
        <v>577.29000000000008</v>
      </c>
      <c r="H211" s="28">
        <f t="shared" si="29"/>
        <v>0.27500000000000002</v>
      </c>
      <c r="I211" s="28">
        <f>SUM(I204:I210)</f>
        <v>0.33799999999999997</v>
      </c>
      <c r="J211" s="28">
        <f t="shared" si="29"/>
        <v>13.678000000000001</v>
      </c>
      <c r="K211" s="28">
        <f t="shared" si="29"/>
        <v>275</v>
      </c>
      <c r="L211" s="28">
        <f t="shared" si="29"/>
        <v>388.38</v>
      </c>
    </row>
    <row r="212" spans="1:15" s="82" customFormat="1" ht="20.25" customHeight="1" x14ac:dyDescent="0.25">
      <c r="A212" s="171" t="s">
        <v>29</v>
      </c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</row>
    <row r="213" spans="1:15" s="82" customFormat="1" ht="15.75" x14ac:dyDescent="0.25">
      <c r="A213" s="108"/>
      <c r="B213" s="34" t="s">
        <v>30</v>
      </c>
      <c r="C213" s="33">
        <v>60</v>
      </c>
      <c r="D213" s="11">
        <v>0.66</v>
      </c>
      <c r="E213" s="11">
        <v>0.12</v>
      </c>
      <c r="F213" s="11">
        <v>2.2799999999999998</v>
      </c>
      <c r="G213" s="11">
        <v>14.4</v>
      </c>
      <c r="H213" s="11">
        <v>3.5999999999999997E-2</v>
      </c>
      <c r="I213" s="11">
        <v>0.1</v>
      </c>
      <c r="J213" s="11">
        <v>5</v>
      </c>
      <c r="K213" s="11">
        <v>12.2</v>
      </c>
      <c r="L213" s="11">
        <f>15.6</f>
        <v>15.6</v>
      </c>
    </row>
    <row r="214" spans="1:15" s="82" customFormat="1" ht="31.5" x14ac:dyDescent="0.25">
      <c r="A214" s="115" t="s">
        <v>78</v>
      </c>
      <c r="B214" s="116" t="s">
        <v>79</v>
      </c>
      <c r="C214" s="80">
        <v>200</v>
      </c>
      <c r="D214" s="26">
        <f>21.96*0.2</f>
        <v>4.3920000000000003</v>
      </c>
      <c r="E214" s="26">
        <f>21.08*0.2</f>
        <v>4.2160000000000002</v>
      </c>
      <c r="F214" s="26">
        <f>66.14*0.2-5</f>
        <v>8.2280000000000015</v>
      </c>
      <c r="G214" s="26">
        <f>593*0.2</f>
        <v>118.60000000000001</v>
      </c>
      <c r="H214" s="26">
        <f>0.91*0.2-0.09</f>
        <v>9.2000000000000026E-2</v>
      </c>
      <c r="I214" s="26">
        <f>0.29*0.2+0.04</f>
        <v>9.8000000000000004E-2</v>
      </c>
      <c r="J214" s="26">
        <f>23.3*0.2</f>
        <v>4.66</v>
      </c>
      <c r="K214" s="26">
        <f>170.7*0.2+30</f>
        <v>64.14</v>
      </c>
      <c r="L214" s="26">
        <f>352.4*0.2+35</f>
        <v>105.48</v>
      </c>
    </row>
    <row r="215" spans="1:15" s="82" customFormat="1" ht="31.5" x14ac:dyDescent="0.25">
      <c r="A215" s="125" t="s">
        <v>106</v>
      </c>
      <c r="B215" s="135" t="s">
        <v>107</v>
      </c>
      <c r="C215" s="80">
        <v>90</v>
      </c>
      <c r="D215" s="11">
        <f>6.52/80*150</f>
        <v>12.224999999999998</v>
      </c>
      <c r="E215" s="11">
        <f>5.38/80*150+3</f>
        <v>13.0875</v>
      </c>
      <c r="F215" s="11">
        <f>9.03/80*150</f>
        <v>16.931249999999999</v>
      </c>
      <c r="G215" s="11">
        <f>111/80*150</f>
        <v>208.125</v>
      </c>
      <c r="H215" s="11">
        <f>0.04</f>
        <v>0.04</v>
      </c>
      <c r="I215" s="11">
        <f>0.07/80*150+0.02</f>
        <v>0.15125</v>
      </c>
      <c r="J215" s="11">
        <f>0.17</f>
        <v>0.17</v>
      </c>
      <c r="K215" s="11">
        <f>29.93/80*150+50</f>
        <v>106.11875000000001</v>
      </c>
      <c r="L215" s="11">
        <f>88.67/80*150+90</f>
        <v>256.25625000000002</v>
      </c>
      <c r="M215" s="81"/>
      <c r="N215" s="81"/>
      <c r="O215" s="81"/>
    </row>
    <row r="216" spans="1:15" s="82" customFormat="1" ht="15.75" x14ac:dyDescent="0.25">
      <c r="A216" s="115" t="s">
        <v>108</v>
      </c>
      <c r="B216" s="116" t="s">
        <v>109</v>
      </c>
      <c r="C216" s="80">
        <v>150</v>
      </c>
      <c r="D216" s="51">
        <f>19.06*0.15</f>
        <v>2.8589999999999995</v>
      </c>
      <c r="E216" s="51">
        <f>28.79*0.15+1</f>
        <v>5.3184999999999993</v>
      </c>
      <c r="F216" s="51">
        <f>153.42*0.15-10</f>
        <v>13.012999999999998</v>
      </c>
      <c r="G216" s="51">
        <f>949*0.15</f>
        <v>142.35</v>
      </c>
      <c r="H216" s="51">
        <f>0.63*0.15</f>
        <v>9.4500000000000001E-2</v>
      </c>
      <c r="I216" s="51">
        <f>0.17*0.15</f>
        <v>2.5500000000000002E-2</v>
      </c>
      <c r="J216" s="51"/>
      <c r="K216" s="51">
        <f>32.4*0.3</f>
        <v>9.7199999999999989</v>
      </c>
      <c r="L216" s="51">
        <f>247.8*0.15+20</f>
        <v>57.17</v>
      </c>
    </row>
    <row r="217" spans="1:15" s="81" customFormat="1" ht="32.25" customHeight="1" x14ac:dyDescent="0.25">
      <c r="A217" s="115" t="s">
        <v>36</v>
      </c>
      <c r="B217" s="34" t="s">
        <v>37</v>
      </c>
      <c r="C217" s="33">
        <v>200</v>
      </c>
      <c r="D217" s="11">
        <f>0.8*0.2</f>
        <v>0.16000000000000003</v>
      </c>
      <c r="E217" s="11">
        <f>0.8*0.2</f>
        <v>0.16000000000000003</v>
      </c>
      <c r="F217" s="11">
        <f>139*0.2</f>
        <v>27.8</v>
      </c>
      <c r="G217" s="11">
        <f>573*0.2</f>
        <v>114.60000000000001</v>
      </c>
      <c r="H217" s="11">
        <f>0.06*0.2</f>
        <v>1.2E-2</v>
      </c>
      <c r="I217" s="11">
        <f>0.04*0.2</f>
        <v>8.0000000000000002E-3</v>
      </c>
      <c r="J217" s="11">
        <f>4.5*0.2</f>
        <v>0.9</v>
      </c>
      <c r="K217" s="11">
        <v>91</v>
      </c>
      <c r="L217" s="11">
        <f>22*0.2</f>
        <v>4.4000000000000004</v>
      </c>
      <c r="M217" s="82"/>
      <c r="N217" s="82"/>
      <c r="O217" s="82"/>
    </row>
    <row r="218" spans="1:15" s="82" customFormat="1" ht="15.75" x14ac:dyDescent="0.25">
      <c r="A218" s="107" t="s">
        <v>23</v>
      </c>
      <c r="B218" s="34" t="s">
        <v>24</v>
      </c>
      <c r="C218" s="33">
        <v>100</v>
      </c>
      <c r="D218" s="11">
        <v>0.4</v>
      </c>
      <c r="E218" s="11">
        <v>0.2</v>
      </c>
      <c r="F218" s="11">
        <v>9.8000000000000007</v>
      </c>
      <c r="G218" s="11">
        <v>47</v>
      </c>
      <c r="H218" s="11">
        <v>0.04</v>
      </c>
      <c r="I218" s="11">
        <v>0.05</v>
      </c>
      <c r="J218" s="11">
        <f>10-3</f>
        <v>7</v>
      </c>
      <c r="K218" s="11">
        <f>16+10</f>
        <v>26</v>
      </c>
      <c r="L218" s="11">
        <v>11</v>
      </c>
    </row>
    <row r="219" spans="1:15" s="82" customFormat="1" ht="15.75" x14ac:dyDescent="0.25">
      <c r="A219" s="115"/>
      <c r="B219" s="116" t="s">
        <v>38</v>
      </c>
      <c r="C219" s="80">
        <v>20</v>
      </c>
      <c r="D219" s="19">
        <v>3.2</v>
      </c>
      <c r="E219" s="19">
        <v>0.79</v>
      </c>
      <c r="F219" s="19">
        <v>29.68</v>
      </c>
      <c r="G219" s="19">
        <v>104</v>
      </c>
      <c r="H219" s="19">
        <v>6.2000000000000006E-2</v>
      </c>
      <c r="I219" s="19"/>
      <c r="J219" s="19">
        <v>0.8</v>
      </c>
      <c r="K219" s="19">
        <v>18.044444444444444</v>
      </c>
      <c r="L219" s="19">
        <v>26</v>
      </c>
    </row>
    <row r="220" spans="1:15" s="82" customFormat="1" ht="15.75" x14ac:dyDescent="0.25">
      <c r="A220" s="115"/>
      <c r="B220" s="116" t="s">
        <v>27</v>
      </c>
      <c r="C220" s="80">
        <v>40</v>
      </c>
      <c r="D220" s="11">
        <v>1.32</v>
      </c>
      <c r="E220" s="11">
        <v>0.24</v>
      </c>
      <c r="F220" s="11">
        <v>7.9279999999999999</v>
      </c>
      <c r="G220" s="11">
        <v>39.6</v>
      </c>
      <c r="H220" s="11">
        <v>3.4000000000000002E-2</v>
      </c>
      <c r="I220" s="11"/>
      <c r="J220" s="11">
        <v>0</v>
      </c>
      <c r="K220" s="11">
        <v>5.8</v>
      </c>
      <c r="L220" s="11">
        <v>30</v>
      </c>
    </row>
    <row r="221" spans="1:15" s="82" customFormat="1" ht="15.75" x14ac:dyDescent="0.25">
      <c r="A221" s="115"/>
      <c r="B221" s="83" t="s">
        <v>39</v>
      </c>
      <c r="C221" s="85">
        <f>SUM(C213:C220)</f>
        <v>860</v>
      </c>
      <c r="D221" s="28">
        <f t="shared" ref="D221:L221" si="30">SUM(D213:D220)</f>
        <v>25.215999999999994</v>
      </c>
      <c r="E221" s="28">
        <f t="shared" si="30"/>
        <v>24.131999999999998</v>
      </c>
      <c r="F221" s="28">
        <f t="shared" si="30"/>
        <v>115.66024999999999</v>
      </c>
      <c r="G221" s="28">
        <f t="shared" si="30"/>
        <v>788.67500000000007</v>
      </c>
      <c r="H221" s="28">
        <f t="shared" si="30"/>
        <v>0.41050000000000009</v>
      </c>
      <c r="I221" s="28">
        <f>SUM(I213:I220)</f>
        <v>0.43275000000000002</v>
      </c>
      <c r="J221" s="28">
        <f t="shared" si="30"/>
        <v>18.53</v>
      </c>
      <c r="K221" s="28">
        <f t="shared" si="30"/>
        <v>333.02319444444447</v>
      </c>
      <c r="L221" s="28">
        <f t="shared" si="30"/>
        <v>505.90625</v>
      </c>
    </row>
    <row r="222" spans="1:15" s="82" customFormat="1" ht="20.25" customHeight="1" x14ac:dyDescent="0.25">
      <c r="A222" s="115"/>
      <c r="B222" s="84" t="s">
        <v>128</v>
      </c>
      <c r="C222" s="85">
        <f>C221+C211</f>
        <v>1475</v>
      </c>
      <c r="D222" s="22">
        <f>D221+D211</f>
        <v>44.083999999999989</v>
      </c>
      <c r="E222" s="22">
        <f t="shared" ref="E222:L222" si="31">E221+E211</f>
        <v>42.135999999999996</v>
      </c>
      <c r="F222" s="22">
        <f t="shared" si="31"/>
        <v>196.62624999999997</v>
      </c>
      <c r="G222" s="22">
        <f t="shared" si="31"/>
        <v>1365.9650000000001</v>
      </c>
      <c r="H222" s="22">
        <f t="shared" si="31"/>
        <v>0.68550000000000011</v>
      </c>
      <c r="I222" s="22">
        <f t="shared" si="31"/>
        <v>0.77075000000000005</v>
      </c>
      <c r="J222" s="22">
        <f t="shared" si="31"/>
        <v>32.207999999999998</v>
      </c>
      <c r="K222" s="22">
        <f t="shared" si="31"/>
        <v>608.02319444444447</v>
      </c>
      <c r="L222" s="22">
        <f t="shared" si="31"/>
        <v>894.28625</v>
      </c>
      <c r="M222" s="96"/>
      <c r="N222" s="96"/>
      <c r="O222" s="96"/>
    </row>
    <row r="223" spans="1:15" s="82" customFormat="1" ht="15.75" x14ac:dyDescent="0.25">
      <c r="A223" s="179" t="s">
        <v>83</v>
      </c>
      <c r="B223" s="179"/>
      <c r="C223" s="117">
        <f t="shared" ref="C223:L223" si="32">SUM(C137,C154,C172,C191,C211)/5</f>
        <v>583.79999999999995</v>
      </c>
      <c r="D223" s="97">
        <f t="shared" si="32"/>
        <v>17.700049999999997</v>
      </c>
      <c r="E223" s="97">
        <f t="shared" si="32"/>
        <v>17.484499999999997</v>
      </c>
      <c r="F223" s="97">
        <f t="shared" si="32"/>
        <v>75.57374999999999</v>
      </c>
      <c r="G223" s="97">
        <f t="shared" si="32"/>
        <v>533.08799999999997</v>
      </c>
      <c r="H223" s="97">
        <f t="shared" si="32"/>
        <v>0.26700000000000002</v>
      </c>
      <c r="I223" s="97">
        <f t="shared" si="32"/>
        <v>0.33650000000000002</v>
      </c>
      <c r="J223" s="97">
        <f t="shared" si="32"/>
        <v>14.495200000000001</v>
      </c>
      <c r="K223" s="97">
        <f t="shared" si="32"/>
        <v>237.714</v>
      </c>
      <c r="L223" s="97">
        <f t="shared" si="32"/>
        <v>374.05</v>
      </c>
      <c r="M223" s="138"/>
      <c r="N223" s="86"/>
      <c r="O223" s="86"/>
    </row>
    <row r="224" spans="1:15" s="96" customFormat="1" ht="15.75" x14ac:dyDescent="0.25">
      <c r="A224" s="179" t="s">
        <v>84</v>
      </c>
      <c r="B224" s="179"/>
      <c r="C224" s="117">
        <f t="shared" ref="C224:L224" si="33">SUM(C146,C163,C221,C200,C181)/5</f>
        <v>804</v>
      </c>
      <c r="D224" s="97">
        <f t="shared" si="33"/>
        <v>25.302799999999998</v>
      </c>
      <c r="E224" s="97">
        <f t="shared" si="33"/>
        <v>25.097419999999993</v>
      </c>
      <c r="F224" s="97">
        <f t="shared" si="33"/>
        <v>110.17034999999998</v>
      </c>
      <c r="G224" s="97">
        <f t="shared" si="33"/>
        <v>765.13499999999999</v>
      </c>
      <c r="H224" s="97">
        <f t="shared" si="33"/>
        <v>0.38540000000000008</v>
      </c>
      <c r="I224" s="97">
        <f t="shared" si="33"/>
        <v>0.44015000000000004</v>
      </c>
      <c r="J224" s="97">
        <f t="shared" si="33"/>
        <v>19.382181818181817</v>
      </c>
      <c r="K224" s="97">
        <f t="shared" si="33"/>
        <v>348.87419444444447</v>
      </c>
      <c r="L224" s="97">
        <f t="shared" si="33"/>
        <v>508.02145000000002</v>
      </c>
      <c r="M224" s="138"/>
      <c r="N224" s="86"/>
      <c r="O224" s="86"/>
    </row>
    <row r="225" spans="1:15" s="86" customFormat="1" ht="15.75" hidden="1" x14ac:dyDescent="0.25">
      <c r="A225" s="139"/>
      <c r="B225" s="40"/>
      <c r="C225" s="41"/>
      <c r="D225" s="97"/>
      <c r="E225" s="97"/>
      <c r="F225" s="97"/>
      <c r="G225" s="97"/>
      <c r="H225" s="97"/>
      <c r="I225" s="97"/>
      <c r="J225" s="97"/>
      <c r="K225" s="97"/>
      <c r="L225" s="97"/>
      <c r="M225" s="98"/>
      <c r="N225" s="4"/>
      <c r="O225" s="4"/>
    </row>
    <row r="226" spans="1:15" s="86" customFormat="1" ht="15.75" hidden="1" x14ac:dyDescent="0.25">
      <c r="A226" s="139"/>
      <c r="B226" s="140"/>
      <c r="C226" s="141"/>
      <c r="D226" s="136"/>
      <c r="E226" s="136"/>
      <c r="F226" s="136"/>
      <c r="G226" s="136"/>
      <c r="H226" s="136"/>
      <c r="I226" s="136"/>
      <c r="J226" s="136"/>
      <c r="K226" s="136"/>
      <c r="L226" s="136"/>
      <c r="M226" s="98"/>
      <c r="N226" s="4"/>
      <c r="O226" s="4"/>
    </row>
    <row r="227" spans="1:15" s="4" customFormat="1" ht="15.75" x14ac:dyDescent="0.25">
      <c r="A227" s="142"/>
      <c r="B227" s="209" t="s">
        <v>129</v>
      </c>
      <c r="C227" s="210"/>
      <c r="D227" s="143">
        <f t="shared" ref="D227:L227" si="34">D211+D191+D172+D154+D137+D115+D95+D77+D58+D40</f>
        <v>178.16249999999999</v>
      </c>
      <c r="E227" s="143">
        <f t="shared" si="34"/>
        <v>179.48049999999995</v>
      </c>
      <c r="F227" s="143">
        <f t="shared" si="34"/>
        <v>764.1267499999999</v>
      </c>
      <c r="G227" s="143">
        <f t="shared" si="34"/>
        <v>5487.38</v>
      </c>
      <c r="H227" s="143">
        <f t="shared" si="34"/>
        <v>2.6400000000000006</v>
      </c>
      <c r="I227" s="143">
        <f t="shared" si="34"/>
        <v>3.2514999999999996</v>
      </c>
      <c r="J227" s="143">
        <f t="shared" si="34"/>
        <v>145.88600000000002</v>
      </c>
      <c r="K227" s="143">
        <f t="shared" si="34"/>
        <v>2399.1377777777775</v>
      </c>
      <c r="L227" s="144">
        <f t="shared" si="34"/>
        <v>3668.2650000000003</v>
      </c>
      <c r="M227" s="145"/>
      <c r="N227" s="2"/>
      <c r="O227" s="2"/>
    </row>
    <row r="228" spans="1:15" s="4" customFormat="1" ht="15.75" x14ac:dyDescent="0.25">
      <c r="A228" s="142"/>
      <c r="B228" s="196" t="s">
        <v>130</v>
      </c>
      <c r="C228" s="197"/>
      <c r="D228" s="143">
        <f>D227/10</f>
        <v>17.81625</v>
      </c>
      <c r="E228" s="143">
        <f t="shared" ref="E228:L228" si="35">E227/10</f>
        <v>17.948049999999995</v>
      </c>
      <c r="F228" s="143">
        <f t="shared" si="35"/>
        <v>76.412674999999993</v>
      </c>
      <c r="G228" s="143">
        <f>G227/10</f>
        <v>548.73800000000006</v>
      </c>
      <c r="H228" s="143">
        <f t="shared" si="35"/>
        <v>0.26400000000000007</v>
      </c>
      <c r="I228" s="143">
        <f t="shared" si="35"/>
        <v>0.32514999999999994</v>
      </c>
      <c r="J228" s="143">
        <f t="shared" si="35"/>
        <v>14.588600000000003</v>
      </c>
      <c r="K228" s="143">
        <f t="shared" si="35"/>
        <v>239.91377777777774</v>
      </c>
      <c r="L228" s="144">
        <f t="shared" si="35"/>
        <v>366.82650000000001</v>
      </c>
      <c r="M228" s="98"/>
    </row>
    <row r="229" spans="1:15" s="2" customFormat="1" ht="16.5" thickBot="1" x14ac:dyDescent="0.3">
      <c r="A229" s="193" t="s">
        <v>131</v>
      </c>
      <c r="B229" s="194"/>
      <c r="C229" s="195"/>
      <c r="D229" s="146">
        <f t="shared" ref="D229:L229" si="36">D228/D236</f>
        <v>0.23137987012987013</v>
      </c>
      <c r="E229" s="146">
        <f t="shared" si="36"/>
        <v>0.22719050632911386</v>
      </c>
      <c r="F229" s="146">
        <f t="shared" si="36"/>
        <v>0.22809753731343282</v>
      </c>
      <c r="G229" s="146">
        <f t="shared" si="36"/>
        <v>0.23350553191489365</v>
      </c>
      <c r="H229" s="146">
        <f t="shared" si="36"/>
        <v>0.22000000000000006</v>
      </c>
      <c r="I229" s="146">
        <f t="shared" si="36"/>
        <v>0.23224999999999998</v>
      </c>
      <c r="J229" s="146">
        <f t="shared" si="36"/>
        <v>0.24314333333333338</v>
      </c>
      <c r="K229" s="146">
        <f t="shared" si="36"/>
        <v>0.21810343434343432</v>
      </c>
      <c r="L229" s="147">
        <f t="shared" si="36"/>
        <v>0.22231909090909091</v>
      </c>
      <c r="M229" s="98"/>
      <c r="N229" s="4"/>
      <c r="O229" s="4"/>
    </row>
    <row r="230" spans="1:15" s="4" customFormat="1" ht="15.75" x14ac:dyDescent="0.25">
      <c r="A230" s="148"/>
      <c r="B230" s="191" t="s">
        <v>132</v>
      </c>
      <c r="C230" s="192"/>
      <c r="D230" s="149">
        <f t="shared" ref="D230:L230" si="37">D181+D200+D221+D163+D146+D124+D105+D86+D67+D49</f>
        <v>250.73455000000001</v>
      </c>
      <c r="E230" s="149">
        <f t="shared" si="37"/>
        <v>255.07359999999997</v>
      </c>
      <c r="F230" s="149">
        <f t="shared" si="37"/>
        <v>1113.6123749999999</v>
      </c>
      <c r="G230" s="149">
        <f t="shared" si="37"/>
        <v>7640.6000000000013</v>
      </c>
      <c r="H230" s="149">
        <f t="shared" si="37"/>
        <v>3.9003000000000001</v>
      </c>
      <c r="I230" s="149">
        <f t="shared" si="37"/>
        <v>4.45</v>
      </c>
      <c r="J230" s="149">
        <f t="shared" si="37"/>
        <v>197.24340909090907</v>
      </c>
      <c r="K230" s="149">
        <f t="shared" si="37"/>
        <v>3468.96675</v>
      </c>
      <c r="L230" s="150">
        <f t="shared" si="37"/>
        <v>5195.4109999999991</v>
      </c>
      <c r="M230" s="145"/>
      <c r="N230" s="2"/>
      <c r="O230" s="2"/>
    </row>
    <row r="231" spans="1:15" s="4" customFormat="1" ht="15.75" x14ac:dyDescent="0.25">
      <c r="A231" s="151"/>
      <c r="B231" s="196" t="s">
        <v>133</v>
      </c>
      <c r="C231" s="197"/>
      <c r="D231" s="143">
        <f>D230/10</f>
        <v>25.073455000000003</v>
      </c>
      <c r="E231" s="143">
        <f t="shared" ref="E231:L231" si="38">E230/10</f>
        <v>25.507359999999998</v>
      </c>
      <c r="F231" s="143">
        <f t="shared" si="38"/>
        <v>111.36123749999999</v>
      </c>
      <c r="G231" s="143">
        <f>G230/10</f>
        <v>764.06000000000017</v>
      </c>
      <c r="H231" s="143">
        <f t="shared" si="38"/>
        <v>0.39002999999999999</v>
      </c>
      <c r="I231" s="143">
        <f t="shared" ref="I231" si="39">I230/10</f>
        <v>0.44500000000000001</v>
      </c>
      <c r="J231" s="143">
        <f t="shared" si="38"/>
        <v>19.724340909090905</v>
      </c>
      <c r="K231" s="143">
        <f t="shared" si="38"/>
        <v>346.89667500000002</v>
      </c>
      <c r="L231" s="152">
        <f t="shared" si="38"/>
        <v>519.54109999999991</v>
      </c>
      <c r="M231" s="98"/>
    </row>
    <row r="232" spans="1:15" s="2" customFormat="1" ht="16.5" thickBot="1" x14ac:dyDescent="0.3">
      <c r="A232" s="205" t="s">
        <v>131</v>
      </c>
      <c r="B232" s="194"/>
      <c r="C232" s="195"/>
      <c r="D232" s="146">
        <f t="shared" ref="D232:L232" si="40">D231/D236</f>
        <v>0.32562928571428573</v>
      </c>
      <c r="E232" s="146">
        <f t="shared" si="40"/>
        <v>0.32287797468354429</v>
      </c>
      <c r="F232" s="146">
        <f t="shared" si="40"/>
        <v>0.33242160447761188</v>
      </c>
      <c r="G232" s="146">
        <f t="shared" si="40"/>
        <v>0.32513191489361709</v>
      </c>
      <c r="H232" s="146">
        <f t="shared" si="40"/>
        <v>0.32502500000000001</v>
      </c>
      <c r="I232" s="146">
        <f t="shared" si="40"/>
        <v>0.31785714285714289</v>
      </c>
      <c r="J232" s="146">
        <f t="shared" si="40"/>
        <v>0.3287390151515151</v>
      </c>
      <c r="K232" s="146">
        <f t="shared" si="40"/>
        <v>0.31536061363636364</v>
      </c>
      <c r="L232" s="153">
        <f t="shared" si="40"/>
        <v>0.3148733939393939</v>
      </c>
      <c r="M232" s="98"/>
      <c r="N232" s="4"/>
      <c r="O232" s="4"/>
    </row>
    <row r="233" spans="1:15" s="4" customFormat="1" ht="15.75" x14ac:dyDescent="0.25">
      <c r="A233" s="148"/>
      <c r="B233" s="190" t="s">
        <v>134</v>
      </c>
      <c r="C233" s="190"/>
      <c r="D233" s="154">
        <f>D230+D227</f>
        <v>428.89705000000004</v>
      </c>
      <c r="E233" s="154">
        <f>E230+E227</f>
        <v>434.55409999999995</v>
      </c>
      <c r="F233" s="154">
        <f>F230+F227</f>
        <v>1877.7391249999998</v>
      </c>
      <c r="G233" s="154">
        <f>G230+G227</f>
        <v>13127.980000000001</v>
      </c>
      <c r="H233" s="154">
        <f>H230+H227</f>
        <v>6.5403000000000002</v>
      </c>
      <c r="I233" s="154"/>
      <c r="J233" s="154">
        <f t="shared" ref="J233:L233" si="41">J230+J227</f>
        <v>343.12940909090912</v>
      </c>
      <c r="K233" s="154">
        <f t="shared" si="41"/>
        <v>5868.1045277777775</v>
      </c>
      <c r="L233" s="155">
        <f t="shared" si="41"/>
        <v>8863.6759999999995</v>
      </c>
      <c r="M233" s="145"/>
      <c r="N233" s="2"/>
      <c r="O233" s="2"/>
    </row>
    <row r="234" spans="1:15" s="4" customFormat="1" ht="15.75" x14ac:dyDescent="0.25">
      <c r="A234" s="156"/>
      <c r="B234" s="187" t="s">
        <v>135</v>
      </c>
      <c r="C234" s="187"/>
      <c r="D234" s="157">
        <f>D233/10</f>
        <v>42.889705000000006</v>
      </c>
      <c r="E234" s="157">
        <f t="shared" ref="E234:L234" si="42">E233/10</f>
        <v>43.455409999999993</v>
      </c>
      <c r="F234" s="157">
        <f t="shared" si="42"/>
        <v>187.77391249999999</v>
      </c>
      <c r="G234" s="157">
        <f t="shared" si="42"/>
        <v>1312.7980000000002</v>
      </c>
      <c r="H234" s="157">
        <f t="shared" si="42"/>
        <v>0.65403</v>
      </c>
      <c r="I234" s="157"/>
      <c r="J234" s="157">
        <f t="shared" si="42"/>
        <v>34.312940909090912</v>
      </c>
      <c r="K234" s="157">
        <f t="shared" si="42"/>
        <v>586.81045277777775</v>
      </c>
      <c r="L234" s="158">
        <f t="shared" si="42"/>
        <v>886.36759999999992</v>
      </c>
      <c r="M234" s="98"/>
    </row>
    <row r="235" spans="1:15" s="2" customFormat="1" ht="16.5" thickBot="1" x14ac:dyDescent="0.3">
      <c r="A235" s="188" t="s">
        <v>131</v>
      </c>
      <c r="B235" s="189"/>
      <c r="C235" s="189"/>
      <c r="D235" s="159">
        <f>D234/D236</f>
        <v>0.55700915584415589</v>
      </c>
      <c r="E235" s="159">
        <f>E234/E236</f>
        <v>0.55006848101265815</v>
      </c>
      <c r="F235" s="159">
        <f>F234/F236</f>
        <v>0.56051914179104478</v>
      </c>
      <c r="G235" s="159">
        <f>G234/G236</f>
        <v>0.55863744680851068</v>
      </c>
      <c r="H235" s="159">
        <f>H234/H236</f>
        <v>0.54502499999999998</v>
      </c>
      <c r="I235" s="159"/>
      <c r="J235" s="159">
        <f t="shared" ref="J235:L235" si="43">J234/J236</f>
        <v>0.57188234848484854</v>
      </c>
      <c r="K235" s="159">
        <f t="shared" si="43"/>
        <v>0.53346404797979796</v>
      </c>
      <c r="L235" s="160">
        <f t="shared" si="43"/>
        <v>0.53719248484848481</v>
      </c>
      <c r="M235" s="98"/>
      <c r="N235" s="4"/>
      <c r="O235" s="4"/>
    </row>
    <row r="236" spans="1:15" s="4" customFormat="1" ht="16.5" thickBot="1" x14ac:dyDescent="0.3">
      <c r="A236" s="206" t="s">
        <v>136</v>
      </c>
      <c r="B236" s="207"/>
      <c r="C236" s="208"/>
      <c r="D236" s="161">
        <v>77</v>
      </c>
      <c r="E236" s="161">
        <v>79</v>
      </c>
      <c r="F236" s="161">
        <v>335</v>
      </c>
      <c r="G236" s="161">
        <v>2350</v>
      </c>
      <c r="H236" s="161">
        <v>1.2</v>
      </c>
      <c r="I236" s="161">
        <v>1.4</v>
      </c>
      <c r="J236" s="161">
        <v>60</v>
      </c>
      <c r="K236" s="161">
        <v>1100</v>
      </c>
      <c r="L236" s="162">
        <v>1650</v>
      </c>
      <c r="M236" s="163"/>
      <c r="N236" s="52"/>
      <c r="O236" s="52"/>
    </row>
    <row r="237" spans="1:15" s="4" customFormat="1" ht="15.75" x14ac:dyDescent="0.25">
      <c r="A237" s="164"/>
      <c r="B237" s="199" t="s">
        <v>137</v>
      </c>
      <c r="C237" s="200"/>
      <c r="D237" s="165"/>
      <c r="E237" s="165"/>
      <c r="F237" s="166" t="s">
        <v>138</v>
      </c>
      <c r="G237" s="53"/>
      <c r="H237" s="53"/>
      <c r="I237" s="53"/>
      <c r="J237" s="53"/>
      <c r="K237" s="53"/>
      <c r="L237" s="53"/>
      <c r="M237" s="98"/>
    </row>
    <row r="238" spans="1:15" s="52" customFormat="1" ht="41.25" customHeight="1" x14ac:dyDescent="0.25">
      <c r="A238" s="164"/>
      <c r="B238" s="201"/>
      <c r="C238" s="202"/>
      <c r="D238" s="167" t="s">
        <v>139</v>
      </c>
      <c r="E238" s="167">
        <f>G228/G236</f>
        <v>0.23350553191489365</v>
      </c>
      <c r="F238" s="167" t="s">
        <v>140</v>
      </c>
      <c r="G238" s="53"/>
      <c r="H238" s="53"/>
      <c r="I238" s="53"/>
      <c r="J238" s="53"/>
      <c r="K238" s="53"/>
      <c r="L238" s="53"/>
      <c r="M238" s="98"/>
      <c r="N238" s="4"/>
      <c r="O238" s="4"/>
    </row>
    <row r="239" spans="1:15" s="4" customFormat="1" ht="15.75" x14ac:dyDescent="0.25">
      <c r="A239" s="164"/>
      <c r="B239" s="203"/>
      <c r="C239" s="204"/>
      <c r="D239" s="168" t="s">
        <v>29</v>
      </c>
      <c r="E239" s="168">
        <f>G231/G236</f>
        <v>0.32513191489361709</v>
      </c>
      <c r="F239" s="168" t="s">
        <v>141</v>
      </c>
      <c r="G239" s="53"/>
      <c r="H239" s="53"/>
      <c r="I239" s="53"/>
      <c r="J239" s="53"/>
      <c r="K239" s="53"/>
      <c r="L239" s="53"/>
      <c r="M239" s="98"/>
    </row>
    <row r="240" spans="1:15" s="4" customFormat="1" x14ac:dyDescent="0.3">
      <c r="A240" s="68"/>
      <c r="B240" s="169"/>
      <c r="C240" s="170"/>
      <c r="D240" s="71"/>
      <c r="E240" s="71"/>
      <c r="F240" s="71"/>
      <c r="G240" s="71"/>
      <c r="H240" s="71"/>
      <c r="I240" s="71"/>
      <c r="J240" s="71"/>
      <c r="K240" s="71"/>
      <c r="L240" s="71"/>
      <c r="M240" s="67"/>
      <c r="N240" s="67"/>
      <c r="O240" s="67"/>
    </row>
    <row r="241" spans="1:15" s="4" customFormat="1" x14ac:dyDescent="0.3">
      <c r="A241" s="68"/>
      <c r="B241" s="67"/>
      <c r="C241" s="69"/>
      <c r="D241" s="70"/>
      <c r="E241" s="70"/>
      <c r="F241" s="70"/>
      <c r="G241" s="70"/>
      <c r="H241" s="71"/>
      <c r="I241" s="71"/>
      <c r="J241" s="71"/>
      <c r="K241" s="71"/>
      <c r="L241" s="71"/>
      <c r="M241" s="67"/>
      <c r="N241" s="67"/>
      <c r="O241" s="67"/>
    </row>
  </sheetData>
  <mergeCells count="64">
    <mergeCell ref="H2:L2"/>
    <mergeCell ref="H3:L3"/>
    <mergeCell ref="H4:L4"/>
    <mergeCell ref="J7:L7"/>
    <mergeCell ref="B237:C239"/>
    <mergeCell ref="A165:G165"/>
    <mergeCell ref="A184:L184"/>
    <mergeCell ref="A192:L192"/>
    <mergeCell ref="A183:G183"/>
    <mergeCell ref="A232:C232"/>
    <mergeCell ref="A166:L166"/>
    <mergeCell ref="A173:L173"/>
    <mergeCell ref="A212:L212"/>
    <mergeCell ref="A236:C236"/>
    <mergeCell ref="B227:C227"/>
    <mergeCell ref="B228:C228"/>
    <mergeCell ref="B234:C234"/>
    <mergeCell ref="A203:L203"/>
    <mergeCell ref="A202:G202"/>
    <mergeCell ref="A148:G148"/>
    <mergeCell ref="A235:C235"/>
    <mergeCell ref="B233:C233"/>
    <mergeCell ref="B230:C230"/>
    <mergeCell ref="A229:C229"/>
    <mergeCell ref="A149:L149"/>
    <mergeCell ref="A155:L155"/>
    <mergeCell ref="B231:C231"/>
    <mergeCell ref="A223:B223"/>
    <mergeCell ref="A224:B224"/>
    <mergeCell ref="A107:G107"/>
    <mergeCell ref="A89:L89"/>
    <mergeCell ref="A96:L96"/>
    <mergeCell ref="A88:G88"/>
    <mergeCell ref="A70:L70"/>
    <mergeCell ref="A78:L78"/>
    <mergeCell ref="A129:L129"/>
    <mergeCell ref="A138:L138"/>
    <mergeCell ref="A128:G128"/>
    <mergeCell ref="A108:L108"/>
    <mergeCell ref="A116:L116"/>
    <mergeCell ref="A126:B126"/>
    <mergeCell ref="A127:B127"/>
    <mergeCell ref="A69:G69"/>
    <mergeCell ref="A52:L52"/>
    <mergeCell ref="A59:L59"/>
    <mergeCell ref="H30:J30"/>
    <mergeCell ref="K30:L30"/>
    <mergeCell ref="A51:G51"/>
    <mergeCell ref="A30:A31"/>
    <mergeCell ref="B30:B31"/>
    <mergeCell ref="C30:C31"/>
    <mergeCell ref="D30:F30"/>
    <mergeCell ref="G30:G31"/>
    <mergeCell ref="A32:L32"/>
    <mergeCell ref="A41:L41"/>
    <mergeCell ref="A9:B9"/>
    <mergeCell ref="B15:G28"/>
    <mergeCell ref="A10:D10"/>
    <mergeCell ref="A7:B7"/>
    <mergeCell ref="A8:B8"/>
    <mergeCell ref="I8:L8"/>
    <mergeCell ref="I9:L9"/>
    <mergeCell ref="J12:L12"/>
    <mergeCell ref="A29:G29"/>
  </mergeCells>
  <conditionalFormatting sqref="D40 D58 D77 D95 D115 D137 D154 D172 D191 D211">
    <cfRule type="cellIs" dxfId="22" priority="27" stopIfTrue="1" operator="notBetween">
      <formula>15.4</formula>
      <formula>19.25</formula>
    </cfRule>
  </conditionalFormatting>
  <conditionalFormatting sqref="D49 D67 D86 D105 D124 D146 D163 D221 D181">
    <cfRule type="cellIs" dxfId="21" priority="26" stopIfTrue="1" operator="notBetween">
      <formula>23.1</formula>
      <formula>26.95</formula>
    </cfRule>
  </conditionalFormatting>
  <conditionalFormatting sqref="E40 E58 E77 E95 E115 E137 E154 E172 E191 E211">
    <cfRule type="cellIs" dxfId="20" priority="25" stopIfTrue="1" operator="notBetween">
      <formula>15.8</formula>
      <formula>19.75</formula>
    </cfRule>
  </conditionalFormatting>
  <conditionalFormatting sqref="E49 E67 E86 E105 E124 E146 E163 E221 E200 E181">
    <cfRule type="cellIs" dxfId="19" priority="24" stopIfTrue="1" operator="notBetween">
      <formula>23.7</formula>
      <formula>27.65</formula>
    </cfRule>
  </conditionalFormatting>
  <conditionalFormatting sqref="F40 F58 F77 F95 F115 F137 F154 F172 F191 F211">
    <cfRule type="cellIs" dxfId="18" priority="23" stopIfTrue="1" operator="notBetween">
      <formula>67</formula>
      <formula>83.75</formula>
    </cfRule>
  </conditionalFormatting>
  <conditionalFormatting sqref="F49 F67 F86 F105 F124 F146 F163 F221 F200 F181">
    <cfRule type="cellIs" dxfId="17" priority="22" stopIfTrue="1" operator="notBetween">
      <formula>100.5</formula>
      <formula>117.25</formula>
    </cfRule>
  </conditionalFormatting>
  <conditionalFormatting sqref="G40 G58 G77 G95 G115 G137 G154 G172 G191 G211">
    <cfRule type="cellIs" dxfId="16" priority="20" stopIfTrue="1" operator="notBetween">
      <formula>470</formula>
      <formula>587.5</formula>
    </cfRule>
  </conditionalFormatting>
  <conditionalFormatting sqref="G49 G67 G86 G105 G124 G146 G163 G221 G200 G181">
    <cfRule type="cellIs" dxfId="15" priority="19" stopIfTrue="1" operator="notBetween">
      <formula>705</formula>
      <formula>822.5</formula>
    </cfRule>
  </conditionalFormatting>
  <conditionalFormatting sqref="H40 H58 H77 H95 H115 H137 H154 H172 H191 H211">
    <cfRule type="cellIs" dxfId="14" priority="18" stopIfTrue="1" operator="notBetween">
      <formula>0.24</formula>
      <formula>0.3</formula>
    </cfRule>
  </conditionalFormatting>
  <conditionalFormatting sqref="I40 I77 I95 I115 I137 I154 I172 I191 I211">
    <cfRule type="cellIs" dxfId="13" priority="16" stopIfTrue="1" operator="notBetween">
      <formula>0.28</formula>
      <formula>0.35</formula>
    </cfRule>
  </conditionalFormatting>
  <conditionalFormatting sqref="H49 H67 H86 H105 H124 H146 H163 H221 H200 H181">
    <cfRule type="cellIs" dxfId="12" priority="15" stopIfTrue="1" operator="notBetween">
      <formula>0.36</formula>
      <formula>0.42</formula>
    </cfRule>
  </conditionalFormatting>
  <conditionalFormatting sqref="I49 I67 I86 I105 I124 I146 I163 I200 I181">
    <cfRule type="cellIs" dxfId="11" priority="14" stopIfTrue="1" operator="notBetween">
      <formula>0.42</formula>
      <formula>0.49</formula>
    </cfRule>
  </conditionalFormatting>
  <conditionalFormatting sqref="J40 J58 J77 J95 J115 J137 J154 J172 J191 J211">
    <cfRule type="cellIs" dxfId="10" priority="13" stopIfTrue="1" operator="notBetween">
      <formula>12</formula>
      <formula>15</formula>
    </cfRule>
  </conditionalFormatting>
  <conditionalFormatting sqref="J49 J67 J86 J105 J124 J146 J163 J221 J200 J181">
    <cfRule type="cellIs" dxfId="9" priority="12" stopIfTrue="1" operator="notBetween">
      <formula>18</formula>
      <formula>21</formula>
    </cfRule>
  </conditionalFormatting>
  <conditionalFormatting sqref="K40 K58 K77 K95 K115 K137 K154 K172 K191 K211">
    <cfRule type="cellIs" dxfId="8" priority="11" stopIfTrue="1" operator="notBetween">
      <formula>220</formula>
      <formula>275</formula>
    </cfRule>
  </conditionalFormatting>
  <conditionalFormatting sqref="L40 L58 L77 L95 L115 L137 L154 L172 L191 L211">
    <cfRule type="cellIs" dxfId="7" priority="10" stopIfTrue="1" operator="notBetween">
      <formula>330</formula>
      <formula>412.5</formula>
    </cfRule>
  </conditionalFormatting>
  <conditionalFormatting sqref="K49 K67 K86 K105 K124 K146 K221 K200 K181">
    <cfRule type="cellIs" dxfId="6" priority="9" stopIfTrue="1" operator="notBetween">
      <formula>330</formula>
      <formula>385</formula>
    </cfRule>
  </conditionalFormatting>
  <conditionalFormatting sqref="L49 L67 L86 L105 L124 L146 L163 L221 L200 L181">
    <cfRule type="cellIs" dxfId="5" priority="8" stopIfTrue="1" operator="notBetween">
      <formula>495</formula>
      <formula>577.5</formula>
    </cfRule>
  </conditionalFormatting>
  <conditionalFormatting sqref="I40">
    <cfRule type="cellIs" dxfId="4" priority="7" stopIfTrue="1" operator="notBetween">
      <formula>0.28</formula>
      <formula>0.35</formula>
    </cfRule>
  </conditionalFormatting>
  <conditionalFormatting sqref="I58">
    <cfRule type="cellIs" dxfId="3" priority="6" stopIfTrue="1" operator="notBetween">
      <formula>0.24</formula>
      <formula>0.3</formula>
    </cfRule>
  </conditionalFormatting>
  <conditionalFormatting sqref="K163">
    <cfRule type="cellIs" dxfId="2" priority="3" stopIfTrue="1" operator="notBetween">
      <formula>330</formula>
      <formula>385</formula>
    </cfRule>
  </conditionalFormatting>
  <conditionalFormatting sqref="I221">
    <cfRule type="cellIs" dxfId="1" priority="2" operator="notBetween">
      <formula>0.42</formula>
      <formula>0.49</formula>
    </cfRule>
  </conditionalFormatting>
  <conditionalFormatting sqref="D200">
    <cfRule type="cellIs" dxfId="0" priority="1" stopIfTrue="1" operator="notBetween">
      <formula>23.1</formula>
      <formula>26.95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Региональное меню</vt:lpstr>
      <vt:lpstr>'Региональное меню'!Область_печати</vt:lpstr>
    </vt:vector>
  </TitlesOfParts>
  <Manager/>
  <Company>MacBook Pro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admin</cp:lastModifiedBy>
  <cp:revision/>
  <cp:lastPrinted>2022-01-10T15:48:09Z</cp:lastPrinted>
  <dcterms:created xsi:type="dcterms:W3CDTF">2020-09-15T06:15:04Z</dcterms:created>
  <dcterms:modified xsi:type="dcterms:W3CDTF">2022-01-11T05:25:54Z</dcterms:modified>
  <cp:category/>
  <cp:contentStatus/>
</cp:coreProperties>
</file>